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obincl\Desktop\VR_Schladming_BP\"/>
    </mc:Choice>
  </mc:AlternateContent>
  <bookViews>
    <workbookView xWindow="-120" yWindow="-120" windowWidth="29040" windowHeight="15228"/>
  </bookViews>
  <sheets>
    <sheet name="Kalkulaton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3" i="4" l="1"/>
  <c r="E43" i="4"/>
  <c r="D43" i="4"/>
  <c r="C43" i="4"/>
  <c r="F38" i="4"/>
  <c r="F37" i="4"/>
  <c r="F36" i="4"/>
  <c r="C36" i="4"/>
  <c r="D36" i="4"/>
  <c r="F35" i="4"/>
  <c r="F34" i="4"/>
  <c r="F33" i="4"/>
  <c r="D33" i="4"/>
  <c r="C33" i="4"/>
  <c r="F23" i="4"/>
  <c r="F22" i="4"/>
  <c r="D22" i="4"/>
  <c r="E42" i="4"/>
  <c r="E16" i="4"/>
  <c r="E22" i="4"/>
  <c r="F17" i="4"/>
  <c r="F18" i="4"/>
  <c r="F19" i="4"/>
  <c r="C17" i="4"/>
  <c r="C18" i="4"/>
  <c r="C19" i="4"/>
  <c r="D18" i="4"/>
  <c r="D19" i="4"/>
  <c r="D17" i="4"/>
  <c r="D32" i="4"/>
  <c r="D31" i="4"/>
  <c r="D27" i="4"/>
  <c r="D23" i="4"/>
  <c r="E33" i="4"/>
  <c r="E27" i="4"/>
  <c r="F27" i="4" s="1"/>
  <c r="C39" i="4"/>
  <c r="B34" i="4"/>
  <c r="E32" i="4"/>
  <c r="F32" i="4" s="1"/>
  <c r="B32" i="4"/>
  <c r="E31" i="4"/>
  <c r="C31" i="4" s="1"/>
  <c r="B31" i="4"/>
  <c r="B27" i="4"/>
  <c r="F20" i="4"/>
  <c r="B20" i="4"/>
  <c r="C11" i="4"/>
  <c r="D40" i="4" l="1"/>
  <c r="E40" i="4"/>
  <c r="F31" i="4"/>
  <c r="F40" i="4" s="1"/>
  <c r="C32" i="4"/>
  <c r="C40" i="4" s="1"/>
  <c r="C42" i="4" s="1"/>
  <c r="C22" i="4"/>
  <c r="B22" i="4"/>
  <c r="B25" i="4" s="1"/>
  <c r="B42" i="4" s="1"/>
  <c r="F25" i="4"/>
  <c r="F29" i="4" s="1"/>
  <c r="F42" i="4" s="1"/>
  <c r="F16" i="4" l="1"/>
  <c r="C16" i="4"/>
  <c r="C20" i="4" s="1"/>
  <c r="C25" i="4" s="1"/>
  <c r="D16" i="4"/>
  <c r="D20" i="4" s="1"/>
  <c r="D25" i="4" s="1"/>
  <c r="B43" i="4"/>
  <c r="B44" i="4" s="1"/>
  <c r="F44" i="4"/>
  <c r="E23" i="4"/>
  <c r="C23" i="4" s="1"/>
  <c r="D29" i="4" l="1"/>
  <c r="C29" i="4"/>
  <c r="C44" i="4" s="1"/>
  <c r="E20" i="4"/>
  <c r="E25" i="4" s="1"/>
  <c r="D42" i="4" l="1"/>
  <c r="D44" i="4" s="1"/>
  <c r="E29" i="4"/>
  <c r="E44" i="4" s="1"/>
</calcChain>
</file>

<file path=xl/sharedStrings.xml><?xml version="1.0" encoding="utf-8"?>
<sst xmlns="http://schemas.openxmlformats.org/spreadsheetml/2006/main" count="44" uniqueCount="44">
  <si>
    <t>Jahresnettoumsatz</t>
  </si>
  <si>
    <t>Geschäftsgröße</t>
  </si>
  <si>
    <t>Werbung</t>
  </si>
  <si>
    <t>Strom</t>
  </si>
  <si>
    <t>Zinsen</t>
  </si>
  <si>
    <t>Gewinn vor Steuern</t>
  </si>
  <si>
    <t>Gesamtinvestition</t>
  </si>
  <si>
    <t>Geplanter Start:</t>
  </si>
  <si>
    <t>Diverses / Ersatzinvestitionen</t>
  </si>
  <si>
    <t>Einrichtung, Technik:</t>
  </si>
  <si>
    <t xml:space="preserve">Gewinn </t>
  </si>
  <si>
    <t>Geplante Auslastung</t>
  </si>
  <si>
    <t>Anlaufkosten, Girorahmen</t>
  </si>
  <si>
    <t>Eigenkapital</t>
  </si>
  <si>
    <t>Allgemeines</t>
  </si>
  <si>
    <t>Einnahmen</t>
  </si>
  <si>
    <t>Konsolen, Spielraum</t>
  </si>
  <si>
    <t>Gastro</t>
  </si>
  <si>
    <t>Deckungsbeitrag II</t>
  </si>
  <si>
    <t>Deckungsbeitrag I</t>
  </si>
  <si>
    <t>Spiele (1)</t>
  </si>
  <si>
    <t>Miete (2)</t>
  </si>
  <si>
    <t>(2) 1 Raum wird vermietet</t>
  </si>
  <si>
    <t>Lizenzgebühren pro Spieler (3)</t>
  </si>
  <si>
    <t>Wareneinsatz Gastro (4)</t>
  </si>
  <si>
    <t>(3) Lizengebühr pro Spieler beträgt 6,- €</t>
  </si>
  <si>
    <t>(4) Wareneinsatz 30 %</t>
  </si>
  <si>
    <t>Personal (5)</t>
  </si>
  <si>
    <t>(5) 1 Mitarbeiter wird benötigt, entweder extern oder GF</t>
  </si>
  <si>
    <t>Miete (6)</t>
  </si>
  <si>
    <t>Betriebskosten (6)</t>
  </si>
  <si>
    <t>(6) Miete 12,- € / m², BK 3,- € / m²</t>
  </si>
  <si>
    <t>KFZ Kosten (7)</t>
  </si>
  <si>
    <t>(7) keine Neuanschaffung nötig, KM Geld wird an GmbH verrechnet</t>
  </si>
  <si>
    <t>Abschreibung/Kreditrückzahlung (8)</t>
  </si>
  <si>
    <t>(8) Annahme Kredit und AVZ werden auf 10 Jahre abgeschrieben/finanziert</t>
  </si>
  <si>
    <t>(1) Spielgebühr netto 28,- €, 50 %Auslastung bei 5 Tage, 11 Monate, 6 Einheiten mit max. 8 Spieler pro Tag = 5.715 Spieler</t>
  </si>
  <si>
    <t>Ausgaben Allgemein</t>
  </si>
  <si>
    <t>23 % Kest</t>
  </si>
  <si>
    <t>Kalkulation Gaming-Room</t>
  </si>
  <si>
    <t>70 % von Plan</t>
  </si>
  <si>
    <t>85 % von Plan</t>
  </si>
  <si>
    <t>115 % von Plan</t>
  </si>
  <si>
    <t>Mietvertrag ab 1.06.24 mit 5 jährigem Kündigungsverzicht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</si>
</sst>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\ &quot;m²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2" fillId="0" borderId="0" xfId="0" applyFont="1"/>
    <xf numFmtId="0" fontId="3" fillId="0" borderId="1" xfId="0" applyFont="1" applyBorder="1"/>
    <xf numFmtId="43" fontId="0" fillId="0" borderId="1" xfId="1" applyFont="1" applyBorder="1"/>
    <xf numFmtId="0" fontId="3" fillId="2" borderId="1" xfId="0" applyFont="1" applyFill="1" applyBorder="1"/>
    <xf numFmtId="43" fontId="0" fillId="2" borderId="1" xfId="1" applyFont="1" applyFill="1" applyBorder="1"/>
    <xf numFmtId="43" fontId="0" fillId="0" borderId="0" xfId="1" applyFont="1"/>
    <xf numFmtId="0" fontId="5" fillId="0" borderId="0" xfId="0" applyFont="1"/>
    <xf numFmtId="14" fontId="5" fillId="0" borderId="0" xfId="0" applyNumberFormat="1" applyFont="1"/>
    <xf numFmtId="0" fontId="5" fillId="0" borderId="0" xfId="0" applyFont="1" applyBorder="1"/>
    <xf numFmtId="43" fontId="5" fillId="0" borderId="0" xfId="1" applyFont="1" applyBorder="1"/>
    <xf numFmtId="9" fontId="0" fillId="0" borderId="0" xfId="1" quotePrefix="1" applyNumberFormat="1" applyFont="1"/>
    <xf numFmtId="164" fontId="5" fillId="0" borderId="0" xfId="0" applyNumberFormat="1" applyFont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0" fontId="0" fillId="0" borderId="0" xfId="0" applyFill="1"/>
    <xf numFmtId="43" fontId="0" fillId="0" borderId="0" xfId="1" applyFont="1" applyFill="1" applyBorder="1"/>
    <xf numFmtId="43" fontId="0" fillId="0" borderId="0" xfId="1" applyFont="1" applyFill="1"/>
    <xf numFmtId="43" fontId="1" fillId="0" borderId="1" xfId="1" applyFont="1" applyFill="1" applyBorder="1" applyAlignment="1">
      <alignment horizontal="center"/>
    </xf>
    <xf numFmtId="43" fontId="3" fillId="2" borderId="1" xfId="1" applyFont="1" applyFill="1" applyBorder="1"/>
    <xf numFmtId="0" fontId="3" fillId="3" borderId="1" xfId="0" applyFont="1" applyFill="1" applyBorder="1" applyAlignment="1">
      <alignment horizontal="center"/>
    </xf>
    <xf numFmtId="43" fontId="1" fillId="3" borderId="1" xfId="1" applyFont="1" applyFill="1" applyBorder="1" applyAlignment="1">
      <alignment horizontal="center"/>
    </xf>
    <xf numFmtId="43" fontId="0" fillId="3" borderId="1" xfId="1" applyFont="1" applyFill="1" applyBorder="1"/>
    <xf numFmtId="43" fontId="3" fillId="4" borderId="1" xfId="1" applyFont="1" applyFill="1" applyBorder="1"/>
    <xf numFmtId="43" fontId="0" fillId="4" borderId="1" xfId="1" applyFont="1" applyFill="1" applyBorder="1"/>
    <xf numFmtId="0" fontId="3" fillId="0" borderId="0" xfId="0" applyFont="1" applyFill="1" applyBorder="1"/>
    <xf numFmtId="43" fontId="1" fillId="0" borderId="1" xfId="1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/>
    <xf numFmtId="0" fontId="7" fillId="0" borderId="0" xfId="0" applyFont="1" applyFill="1"/>
    <xf numFmtId="43" fontId="4" fillId="0" borderId="0" xfId="1" applyFont="1"/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4" fillId="0" borderId="3" xfId="1" applyFont="1" applyBorder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tabSelected="1" workbookViewId="0">
      <selection activeCell="C11" sqref="A3:C11"/>
    </sheetView>
  </sheetViews>
  <sheetFormatPr baseColWidth="10" defaultRowHeight="14.4" x14ac:dyDescent="0.3"/>
  <cols>
    <col min="1" max="1" width="33.44140625" bestFit="1" customWidth="1"/>
    <col min="2" max="2" width="11.44140625" hidden="1" customWidth="1"/>
    <col min="3" max="3" width="23" customWidth="1"/>
    <col min="4" max="4" width="16.44140625" customWidth="1"/>
    <col min="5" max="5" width="19.5546875" bestFit="1" customWidth="1"/>
    <col min="6" max="6" width="16.44140625" customWidth="1"/>
    <col min="7" max="7" width="18.88671875" style="17" customWidth="1"/>
    <col min="8" max="8" width="18.77734375" bestFit="1" customWidth="1"/>
    <col min="9" max="9" width="18.33203125" bestFit="1" customWidth="1"/>
    <col min="12" max="12" width="11.88671875" bestFit="1" customWidth="1"/>
  </cols>
  <sheetData>
    <row r="1" spans="1:7" ht="15.6" x14ac:dyDescent="0.3">
      <c r="A1" s="1" t="s">
        <v>39</v>
      </c>
      <c r="C1" s="2"/>
    </row>
    <row r="2" spans="1:7" ht="15.6" x14ac:dyDescent="0.3">
      <c r="A2" s="1"/>
      <c r="C2" s="2"/>
    </row>
    <row r="3" spans="1:7" ht="15.6" x14ac:dyDescent="0.3">
      <c r="A3" s="8" t="s">
        <v>7</v>
      </c>
      <c r="B3" s="8"/>
      <c r="C3" s="9">
        <v>45474</v>
      </c>
    </row>
    <row r="4" spans="1:7" ht="15.6" x14ac:dyDescent="0.3">
      <c r="A4" s="8" t="s">
        <v>43</v>
      </c>
      <c r="C4" s="2"/>
    </row>
    <row r="5" spans="1:7" ht="15.6" x14ac:dyDescent="0.3">
      <c r="A5" s="8" t="s">
        <v>1</v>
      </c>
      <c r="B5" s="8"/>
      <c r="C5" s="13">
        <v>110</v>
      </c>
    </row>
    <row r="6" spans="1:7" ht="15.6" x14ac:dyDescent="0.3">
      <c r="A6" s="8"/>
      <c r="B6" s="8"/>
      <c r="C6" s="13"/>
    </row>
    <row r="7" spans="1:7" ht="15.6" x14ac:dyDescent="0.3">
      <c r="A7" s="1" t="s">
        <v>13</v>
      </c>
      <c r="B7" s="1"/>
      <c r="C7" s="33">
        <v>20000</v>
      </c>
    </row>
    <row r="8" spans="1:7" ht="15.6" x14ac:dyDescent="0.3">
      <c r="A8" s="8"/>
      <c r="B8" s="8"/>
      <c r="C8" s="8"/>
    </row>
    <row r="9" spans="1:7" ht="15.6" x14ac:dyDescent="0.3">
      <c r="A9" s="1" t="s">
        <v>12</v>
      </c>
      <c r="B9" s="1"/>
      <c r="C9" s="33">
        <v>20000</v>
      </c>
    </row>
    <row r="10" spans="1:7" ht="15.6" x14ac:dyDescent="0.3">
      <c r="A10" s="34" t="s">
        <v>9</v>
      </c>
      <c r="B10" s="34"/>
      <c r="C10" s="35">
        <v>100000</v>
      </c>
    </row>
    <row r="11" spans="1:7" ht="16.2" thickBot="1" x14ac:dyDescent="0.35">
      <c r="A11" s="36" t="s">
        <v>6</v>
      </c>
      <c r="B11" s="36"/>
      <c r="C11" s="37">
        <f>SUM(C9:C10)</f>
        <v>120000</v>
      </c>
    </row>
    <row r="12" spans="1:7" ht="16.2" thickTop="1" x14ac:dyDescent="0.3">
      <c r="A12" s="10"/>
      <c r="B12" s="10"/>
      <c r="C12" s="11"/>
    </row>
    <row r="13" spans="1:7" ht="15.6" x14ac:dyDescent="0.3">
      <c r="A13" s="10"/>
      <c r="B13" s="10"/>
      <c r="C13" s="11"/>
    </row>
    <row r="14" spans="1:7" x14ac:dyDescent="0.3">
      <c r="A14" s="14"/>
      <c r="C14" s="14" t="s">
        <v>40</v>
      </c>
      <c r="D14" s="14" t="s">
        <v>41</v>
      </c>
      <c r="E14" s="22" t="s">
        <v>11</v>
      </c>
      <c r="F14" s="14" t="s">
        <v>42</v>
      </c>
      <c r="G14" s="15"/>
    </row>
    <row r="15" spans="1:7" x14ac:dyDescent="0.3">
      <c r="A15" s="29" t="s">
        <v>15</v>
      </c>
      <c r="C15" s="14"/>
      <c r="D15" s="14"/>
      <c r="E15" s="22"/>
      <c r="F15" s="14"/>
      <c r="G15" s="15"/>
    </row>
    <row r="16" spans="1:7" x14ac:dyDescent="0.3">
      <c r="A16" s="28" t="s">
        <v>20</v>
      </c>
      <c r="C16" s="20">
        <f>E16*0.7</f>
        <v>112014</v>
      </c>
      <c r="D16" s="20">
        <f>E16*0.85</f>
        <v>136017</v>
      </c>
      <c r="E16" s="23">
        <f>5715*28</f>
        <v>160020</v>
      </c>
      <c r="F16" s="20">
        <f>E16*1.15</f>
        <v>184023</v>
      </c>
      <c r="G16" s="16"/>
    </row>
    <row r="17" spans="1:19" x14ac:dyDescent="0.3">
      <c r="A17" s="28" t="s">
        <v>16</v>
      </c>
      <c r="C17" s="20">
        <f t="shared" ref="C17:C19" si="0">E17*0.7</f>
        <v>21000</v>
      </c>
      <c r="D17" s="20">
        <f>E17*0.85</f>
        <v>25500</v>
      </c>
      <c r="E17" s="23">
        <v>30000</v>
      </c>
      <c r="F17" s="20">
        <f t="shared" ref="F17:F19" si="1">E17*1.15</f>
        <v>34500</v>
      </c>
      <c r="G17" s="16"/>
    </row>
    <row r="18" spans="1:19" x14ac:dyDescent="0.3">
      <c r="A18" s="28" t="s">
        <v>17</v>
      </c>
      <c r="C18" s="20">
        <f t="shared" si="0"/>
        <v>14000</v>
      </c>
      <c r="D18" s="20">
        <f t="shared" ref="D18:D19" si="2">E18*0.85</f>
        <v>17000</v>
      </c>
      <c r="E18" s="23">
        <v>20000</v>
      </c>
      <c r="F18" s="20">
        <f t="shared" si="1"/>
        <v>23000</v>
      </c>
      <c r="G18" s="16"/>
    </row>
    <row r="19" spans="1:19" x14ac:dyDescent="0.3">
      <c r="A19" s="28" t="s">
        <v>21</v>
      </c>
      <c r="C19" s="20">
        <f t="shared" si="0"/>
        <v>4200</v>
      </c>
      <c r="D19" s="20">
        <f t="shared" si="2"/>
        <v>5100</v>
      </c>
      <c r="E19" s="23">
        <v>6000</v>
      </c>
      <c r="F19" s="20">
        <f t="shared" si="1"/>
        <v>6899.9999999999991</v>
      </c>
      <c r="G19" s="16"/>
    </row>
    <row r="20" spans="1:19" x14ac:dyDescent="0.3">
      <c r="A20" s="5" t="s">
        <v>0</v>
      </c>
      <c r="B20" s="6" t="e">
        <f>#REF!/1.2</f>
        <v>#REF!</v>
      </c>
      <c r="C20" s="21">
        <f>SUM(C16:C19)</f>
        <v>151214</v>
      </c>
      <c r="D20" s="21">
        <f>SUM(D16:D19)</f>
        <v>183617</v>
      </c>
      <c r="E20" s="25">
        <f>SUM(E16:E19)</f>
        <v>216020</v>
      </c>
      <c r="F20" s="21">
        <f>230000</f>
        <v>230000</v>
      </c>
      <c r="G20" s="18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x14ac:dyDescent="0.3">
      <c r="A21" s="3"/>
      <c r="B21" s="4"/>
      <c r="C21" s="4"/>
      <c r="D21" s="4"/>
      <c r="E21" s="24"/>
      <c r="F21" s="4"/>
      <c r="G21" s="1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 x14ac:dyDescent="0.3">
      <c r="A22" s="3" t="s">
        <v>23</v>
      </c>
      <c r="B22" s="4" t="e">
        <f>B20*0.5</f>
        <v>#REF!</v>
      </c>
      <c r="C22" s="4">
        <f>E22*0.75</f>
        <v>25717.5</v>
      </c>
      <c r="D22" s="4">
        <f>E22*0.85</f>
        <v>29146.5</v>
      </c>
      <c r="E22" s="24">
        <f>5715*6</f>
        <v>34290</v>
      </c>
      <c r="F22" s="4">
        <f>E22*1.15</f>
        <v>39433.5</v>
      </c>
      <c r="G22" s="1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x14ac:dyDescent="0.3">
      <c r="A23" s="3" t="s">
        <v>24</v>
      </c>
      <c r="B23" s="4"/>
      <c r="C23" s="4">
        <f>E23*0.75</f>
        <v>4500</v>
      </c>
      <c r="D23" s="4">
        <f>D18*0.3</f>
        <v>5100</v>
      </c>
      <c r="E23" s="24">
        <f>E18*0.3</f>
        <v>6000</v>
      </c>
      <c r="F23" s="4">
        <f>F18*0.3</f>
        <v>6900</v>
      </c>
      <c r="G23" s="18"/>
      <c r="I23" s="7"/>
      <c r="J23" s="12"/>
      <c r="K23" s="7"/>
      <c r="L23" s="7"/>
      <c r="M23" s="7"/>
      <c r="N23" s="7"/>
      <c r="O23" s="7"/>
      <c r="P23" s="7"/>
      <c r="Q23" s="7"/>
      <c r="R23" s="7"/>
      <c r="S23" s="7"/>
    </row>
    <row r="24" spans="1:19" x14ac:dyDescent="0.3">
      <c r="A24" s="3"/>
      <c r="B24" s="4"/>
      <c r="C24" s="4"/>
      <c r="D24" s="4"/>
      <c r="E24" s="24"/>
      <c r="F24" s="4"/>
      <c r="G24" s="18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x14ac:dyDescent="0.3">
      <c r="A25" s="5" t="s">
        <v>19</v>
      </c>
      <c r="B25" s="21" t="e">
        <f>B20-B22</f>
        <v>#REF!</v>
      </c>
      <c r="C25" s="21">
        <f>C20-C22</f>
        <v>125496.5</v>
      </c>
      <c r="D25" s="21">
        <f>D20-D22</f>
        <v>154470.5</v>
      </c>
      <c r="E25" s="25">
        <f>E20-E22</f>
        <v>181730</v>
      </c>
      <c r="F25" s="21">
        <f>F20-F22</f>
        <v>190566.5</v>
      </c>
      <c r="G25" s="18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x14ac:dyDescent="0.3">
      <c r="A26" s="3"/>
      <c r="B26" s="4"/>
      <c r="C26" s="4"/>
      <c r="D26" s="4"/>
      <c r="E26" s="24"/>
      <c r="F26" s="4"/>
      <c r="G26" s="18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3">
      <c r="A27" s="3" t="s">
        <v>27</v>
      </c>
      <c r="B27" s="4">
        <f>1200*12</f>
        <v>14400</v>
      </c>
      <c r="C27" s="4">
        <v>55000</v>
      </c>
      <c r="D27" s="4">
        <f>55000</f>
        <v>55000</v>
      </c>
      <c r="E27" s="24">
        <f>55000</f>
        <v>55000</v>
      </c>
      <c r="F27" s="4">
        <f>E27</f>
        <v>55000</v>
      </c>
      <c r="G27" s="18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x14ac:dyDescent="0.3">
      <c r="A28" s="3"/>
      <c r="B28" s="4"/>
      <c r="C28" s="4"/>
      <c r="D28" s="4"/>
      <c r="E28" s="24"/>
      <c r="F28" s="4"/>
      <c r="G28" s="18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x14ac:dyDescent="0.3">
      <c r="A29" s="5" t="s">
        <v>18</v>
      </c>
      <c r="B29" s="21"/>
      <c r="C29" s="21">
        <f>C25-C27</f>
        <v>70496.5</v>
      </c>
      <c r="D29" s="21">
        <f t="shared" ref="D29:F29" si="3">D25-D27</f>
        <v>99470.5</v>
      </c>
      <c r="E29" s="25">
        <f t="shared" si="3"/>
        <v>126730</v>
      </c>
      <c r="F29" s="21">
        <f t="shared" si="3"/>
        <v>135566.5</v>
      </c>
      <c r="G29" s="18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spans="1:19" x14ac:dyDescent="0.3">
      <c r="A30" s="3"/>
      <c r="B30" s="4"/>
      <c r="C30" s="4"/>
      <c r="D30" s="4"/>
      <c r="E30" s="24"/>
      <c r="F30" s="4"/>
      <c r="G30" s="18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x14ac:dyDescent="0.3">
      <c r="A31" s="3" t="s">
        <v>29</v>
      </c>
      <c r="B31" s="4">
        <f>850*12</f>
        <v>10200</v>
      </c>
      <c r="C31" s="4">
        <f>E31</f>
        <v>15840</v>
      </c>
      <c r="D31" s="4">
        <f>12*C5*12</f>
        <v>15840</v>
      </c>
      <c r="E31" s="24">
        <f>12*C5*12</f>
        <v>15840</v>
      </c>
      <c r="F31" s="4">
        <f t="shared" ref="F31:F32" si="4">E31*1.04</f>
        <v>16473.600000000002</v>
      </c>
      <c r="G31" s="18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 x14ac:dyDescent="0.3">
      <c r="A32" s="3" t="s">
        <v>30</v>
      </c>
      <c r="B32" s="4">
        <f>350*12</f>
        <v>4200</v>
      </c>
      <c r="C32" s="4">
        <f>E32</f>
        <v>3960</v>
      </c>
      <c r="D32" s="4">
        <f>C5*3*12</f>
        <v>3960</v>
      </c>
      <c r="E32" s="24">
        <f>C5*3*12</f>
        <v>3960</v>
      </c>
      <c r="F32" s="4">
        <f t="shared" si="4"/>
        <v>4118.4000000000005</v>
      </c>
      <c r="G32" s="18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 x14ac:dyDescent="0.3">
      <c r="A33" s="3" t="s">
        <v>3</v>
      </c>
      <c r="B33" s="4"/>
      <c r="C33" s="4">
        <f>E33*0.7</f>
        <v>2520</v>
      </c>
      <c r="D33" s="4">
        <f>E33*0.85</f>
        <v>3060</v>
      </c>
      <c r="E33" s="24">
        <f>300*12</f>
        <v>3600</v>
      </c>
      <c r="F33" s="4">
        <f>E33*1.15</f>
        <v>4140</v>
      </c>
      <c r="G33" s="18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 x14ac:dyDescent="0.3">
      <c r="A34" s="3" t="s">
        <v>2</v>
      </c>
      <c r="B34" s="4">
        <f>500*12</f>
        <v>6000</v>
      </c>
      <c r="C34" s="4">
        <v>5000</v>
      </c>
      <c r="D34" s="4">
        <v>5000</v>
      </c>
      <c r="E34" s="24">
        <v>5000</v>
      </c>
      <c r="F34" s="4">
        <f>E34</f>
        <v>5000</v>
      </c>
      <c r="G34" s="18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 x14ac:dyDescent="0.3">
      <c r="A35" s="3" t="s">
        <v>32</v>
      </c>
      <c r="B35" s="4"/>
      <c r="C35" s="4">
        <v>3000</v>
      </c>
      <c r="D35" s="4">
        <v>3600</v>
      </c>
      <c r="E35" s="24">
        <v>3600</v>
      </c>
      <c r="F35" s="4">
        <f>E35</f>
        <v>3600</v>
      </c>
      <c r="G35" s="18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 x14ac:dyDescent="0.3">
      <c r="A36" s="3" t="s">
        <v>8</v>
      </c>
      <c r="B36" s="4"/>
      <c r="C36" s="4">
        <f>E36*0.7</f>
        <v>3500</v>
      </c>
      <c r="D36" s="4">
        <f>E36*0.85</f>
        <v>4250</v>
      </c>
      <c r="E36" s="24">
        <v>5000</v>
      </c>
      <c r="F36" s="4">
        <f>E36*1.15</f>
        <v>5750</v>
      </c>
      <c r="G36" s="18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3">
      <c r="A37" s="3" t="s">
        <v>4</v>
      </c>
      <c r="B37" s="4"/>
      <c r="C37" s="4">
        <v>6000</v>
      </c>
      <c r="D37" s="4">
        <v>6000</v>
      </c>
      <c r="E37" s="24">
        <v>6000</v>
      </c>
      <c r="F37" s="4">
        <f>E37</f>
        <v>6000</v>
      </c>
      <c r="G37" s="18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 x14ac:dyDescent="0.3">
      <c r="A38" s="3" t="s">
        <v>14</v>
      </c>
      <c r="B38" s="4"/>
      <c r="C38" s="4">
        <v>4000</v>
      </c>
      <c r="D38" s="4">
        <v>5000</v>
      </c>
      <c r="E38" s="24">
        <v>5000</v>
      </c>
      <c r="F38" s="4">
        <f>E38</f>
        <v>5000</v>
      </c>
      <c r="G38" s="18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3">
      <c r="A39" s="3" t="s">
        <v>34</v>
      </c>
      <c r="B39" s="4"/>
      <c r="C39" s="4">
        <f>E39</f>
        <v>10000</v>
      </c>
      <c r="D39" s="4">
        <v>10000</v>
      </c>
      <c r="E39" s="24">
        <v>10000</v>
      </c>
      <c r="F39" s="4">
        <v>2000</v>
      </c>
      <c r="G39" s="18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 x14ac:dyDescent="0.3">
      <c r="A40" s="5" t="s">
        <v>37</v>
      </c>
      <c r="B40" s="21"/>
      <c r="C40" s="21">
        <f>SUM(C31:C39)</f>
        <v>53820</v>
      </c>
      <c r="D40" s="21">
        <f t="shared" ref="D40:F40" si="5">SUM(D31:D39)</f>
        <v>56710</v>
      </c>
      <c r="E40" s="25">
        <f t="shared" si="5"/>
        <v>58000</v>
      </c>
      <c r="F40" s="21">
        <f t="shared" si="5"/>
        <v>52082</v>
      </c>
      <c r="G40" s="18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 x14ac:dyDescent="0.3">
      <c r="A41" s="3"/>
      <c r="B41" s="4"/>
      <c r="C41" s="4"/>
      <c r="D41" s="4"/>
      <c r="E41" s="24"/>
      <c r="F41" s="4"/>
      <c r="G41" s="18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 x14ac:dyDescent="0.3">
      <c r="A42" s="3" t="s">
        <v>5</v>
      </c>
      <c r="B42" s="4" t="e">
        <f>B25-#REF!</f>
        <v>#REF!</v>
      </c>
      <c r="C42" s="4">
        <f>C29-C40</f>
        <v>16676.5</v>
      </c>
      <c r="D42" s="4">
        <f>D29-D40</f>
        <v>42760.5</v>
      </c>
      <c r="E42" s="24">
        <f>E29-E40</f>
        <v>68730</v>
      </c>
      <c r="F42" s="4">
        <f>F29-F40</f>
        <v>83484.5</v>
      </c>
      <c r="G42" s="18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 x14ac:dyDescent="0.3">
      <c r="A43" s="3" t="s">
        <v>38</v>
      </c>
      <c r="B43" s="4" t="e">
        <f>B42*0.27</f>
        <v>#REF!</v>
      </c>
      <c r="C43" s="4">
        <f>C42*0.23</f>
        <v>3835.5950000000003</v>
      </c>
      <c r="D43" s="4">
        <f>D42*0.23</f>
        <v>9834.9150000000009</v>
      </c>
      <c r="E43" s="24">
        <f>E42*0.23</f>
        <v>15807.900000000001</v>
      </c>
      <c r="F43" s="4">
        <f>F42*0.23</f>
        <v>19201.435000000001</v>
      </c>
      <c r="G43" s="18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 x14ac:dyDescent="0.3">
      <c r="A44" s="5" t="s">
        <v>10</v>
      </c>
      <c r="B44" s="6" t="e">
        <f>B42-B43</f>
        <v>#REF!</v>
      </c>
      <c r="C44" s="6">
        <f>C42-C43</f>
        <v>12840.904999999999</v>
      </c>
      <c r="D44" s="6">
        <f>D42-D43</f>
        <v>32925.584999999999</v>
      </c>
      <c r="E44" s="26">
        <f>E42-E43</f>
        <v>52922.1</v>
      </c>
      <c r="F44" s="6">
        <f>F42-F43</f>
        <v>64283.065000000002</v>
      </c>
      <c r="G44" s="18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 x14ac:dyDescent="0.3">
      <c r="A45" s="27"/>
      <c r="B45" s="18"/>
      <c r="C45" s="18"/>
      <c r="D45" s="18"/>
      <c r="E45" s="18"/>
      <c r="F45" s="18"/>
      <c r="G45" s="18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 x14ac:dyDescent="0.3">
      <c r="A46" s="27"/>
      <c r="B46" s="18"/>
      <c r="C46" s="18"/>
      <c r="D46" s="18"/>
      <c r="E46" s="18"/>
      <c r="F46" s="18"/>
      <c r="G46" s="18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 x14ac:dyDescent="0.3">
      <c r="B47" s="7"/>
      <c r="C47" s="7"/>
      <c r="D47" s="7"/>
      <c r="E47" s="7"/>
      <c r="F47" s="7"/>
      <c r="G47" s="19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 s="31" customFormat="1" ht="13.8" x14ac:dyDescent="0.3">
      <c r="A48" s="30" t="s">
        <v>36</v>
      </c>
      <c r="G48" s="32"/>
    </row>
    <row r="49" spans="1:7" s="31" customFormat="1" ht="13.8" x14ac:dyDescent="0.3">
      <c r="A49" s="30" t="s">
        <v>22</v>
      </c>
      <c r="G49" s="32"/>
    </row>
    <row r="50" spans="1:7" s="31" customFormat="1" ht="13.8" x14ac:dyDescent="0.3">
      <c r="A50" s="30" t="s">
        <v>25</v>
      </c>
      <c r="G50" s="32"/>
    </row>
    <row r="51" spans="1:7" s="31" customFormat="1" ht="13.8" x14ac:dyDescent="0.3">
      <c r="A51" s="30" t="s">
        <v>26</v>
      </c>
      <c r="G51" s="32"/>
    </row>
    <row r="52" spans="1:7" s="31" customFormat="1" ht="13.8" x14ac:dyDescent="0.3">
      <c r="A52" s="30" t="s">
        <v>28</v>
      </c>
      <c r="G52" s="32"/>
    </row>
    <row r="53" spans="1:7" s="31" customFormat="1" ht="13.8" x14ac:dyDescent="0.3">
      <c r="A53" s="30" t="s">
        <v>31</v>
      </c>
      <c r="G53" s="32"/>
    </row>
    <row r="54" spans="1:7" s="31" customFormat="1" ht="13.8" x14ac:dyDescent="0.3">
      <c r="A54" s="30" t="s">
        <v>33</v>
      </c>
      <c r="G54" s="32"/>
    </row>
    <row r="55" spans="1:7" s="31" customFormat="1" ht="13.8" x14ac:dyDescent="0.3">
      <c r="A55" s="30" t="s">
        <v>35</v>
      </c>
      <c r="G55" s="32"/>
    </row>
  </sheetData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Kalkulaton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ill001</dc:creator>
  <cp:lastModifiedBy>Robineau Claudia</cp:lastModifiedBy>
  <cp:lastPrinted>2024-04-14T20:15:52Z</cp:lastPrinted>
  <dcterms:created xsi:type="dcterms:W3CDTF">2023-02-04T14:10:48Z</dcterms:created>
  <dcterms:modified xsi:type="dcterms:W3CDTF">2024-04-14T20:16:00Z</dcterms:modified>
</cp:coreProperties>
</file>