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buchh\Nextcloud\WM\Lohnverrechnung u. Stunden\Streitfälle Dienstnehmer\Personalakt_MARGAN Dragi\"/>
    </mc:Choice>
  </mc:AlternateContent>
  <xr:revisionPtr revIDLastSave="0" documentId="13_ncr:1_{5D0F2003-6DFC-4372-A57A-5935B17AB59E}" xr6:coauthVersionLast="47" xr6:coauthVersionMax="47" xr10:uidLastSave="{00000000-0000-0000-0000-000000000000}"/>
  <bookViews>
    <workbookView xWindow="-110" yWindow="-110" windowWidth="38620" windowHeight="21100" xr2:uid="{BD697FEF-2D6D-4F82-84E8-E428F5F41954}"/>
  </bookViews>
  <sheets>
    <sheet name="Endabrechnung" sheetId="1" r:id="rId1"/>
    <sheet name="Vorschüsse" sheetId="2" r:id="rId2"/>
    <sheet name="LG 5 + ÜStd" sheetId="4" r:id="rId3"/>
    <sheet name="Berichtigungen hinfällig" sheetId="3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8" i="1" l="1"/>
  <c r="C11" i="1" l="1"/>
  <c r="K10" i="4" l="1"/>
  <c r="B10" i="4"/>
  <c r="K6" i="4"/>
  <c r="K9" i="4"/>
  <c r="K8" i="4"/>
  <c r="K7" i="4"/>
  <c r="K5" i="4"/>
  <c r="K4" i="4"/>
  <c r="K3" i="4"/>
  <c r="G12" i="1"/>
  <c r="F12" i="1" l="1"/>
  <c r="D12" i="1"/>
  <c r="E11" i="1"/>
  <c r="C9" i="1"/>
  <c r="E9" i="1" s="1"/>
  <c r="C10" i="1"/>
  <c r="E10" i="1" s="1"/>
  <c r="I10" i="1" s="1"/>
  <c r="E8" i="1"/>
  <c r="C7" i="1"/>
  <c r="E7" i="1" s="1"/>
  <c r="C6" i="1"/>
  <c r="E6" i="1" s="1"/>
  <c r="C5" i="1"/>
  <c r="H9" i="1" l="1"/>
  <c r="I9" i="1" s="1"/>
  <c r="D7" i="4" s="1"/>
  <c r="F7" i="4" s="1"/>
  <c r="H7" i="4" s="1"/>
  <c r="H6" i="1"/>
  <c r="I6" i="1" s="1"/>
  <c r="D4" i="4" s="1"/>
  <c r="F4" i="4" s="1"/>
  <c r="H4" i="4" s="1"/>
  <c r="H7" i="1"/>
  <c r="I7" i="1" s="1"/>
  <c r="D5" i="4" s="1"/>
  <c r="F5" i="4" s="1"/>
  <c r="H5" i="4" s="1"/>
  <c r="H8" i="1"/>
  <c r="I8" i="1" s="1"/>
  <c r="D6" i="4" s="1"/>
  <c r="F6" i="4" s="1"/>
  <c r="H6" i="4" s="1"/>
  <c r="D8" i="4"/>
  <c r="F8" i="4" s="1"/>
  <c r="H8" i="4" s="1"/>
  <c r="I8" i="4" s="1"/>
  <c r="J8" i="4" s="1"/>
  <c r="I11" i="1"/>
  <c r="D9" i="4" s="1"/>
  <c r="F9" i="4" s="1"/>
  <c r="C12" i="1"/>
  <c r="E5" i="1"/>
  <c r="H5" i="1" s="1"/>
  <c r="H12" i="1" l="1"/>
  <c r="I5" i="4"/>
  <c r="J5" i="4" s="1"/>
  <c r="L5" i="4" s="1"/>
  <c r="H9" i="4"/>
  <c r="I9" i="4" s="1"/>
  <c r="J9" i="4" s="1"/>
  <c r="L9" i="4" s="1"/>
  <c r="M9" i="4" s="1"/>
  <c r="E12" i="1"/>
  <c r="L8" i="4"/>
  <c r="M8" i="4" s="1"/>
  <c r="I6" i="4"/>
  <c r="J6" i="4" s="1"/>
  <c r="L6" i="4" s="1"/>
  <c r="M6" i="4" s="1"/>
  <c r="I4" i="4"/>
  <c r="J4" i="4" s="1"/>
  <c r="L4" i="4" s="1"/>
  <c r="M4" i="4" s="1"/>
  <c r="I7" i="4"/>
  <c r="J7" i="4" s="1"/>
  <c r="L7" i="4" s="1"/>
  <c r="M7" i="4" s="1"/>
  <c r="M5" i="4" l="1"/>
  <c r="I5" i="1"/>
  <c r="D3" i="4" s="1"/>
  <c r="F3" i="4" s="1"/>
  <c r="I12" i="1"/>
  <c r="H3" i="4" l="1"/>
  <c r="F10" i="4"/>
  <c r="I3" i="4" l="1"/>
  <c r="J3" i="4" s="1"/>
  <c r="L3" i="4" s="1"/>
  <c r="M3" i="4" l="1"/>
  <c r="M10" i="4" s="1"/>
  <c r="L10" i="4"/>
  <c r="D16" i="3"/>
  <c r="D23" i="3" s="1"/>
  <c r="D17" i="3"/>
  <c r="D18" i="3"/>
  <c r="D19" i="3"/>
  <c r="D20" i="3"/>
  <c r="D21" i="3"/>
  <c r="D22" i="3"/>
  <c r="B23" i="3"/>
  <c r="C23" i="3"/>
  <c r="G4" i="3"/>
  <c r="G5" i="3"/>
  <c r="G6" i="3"/>
  <c r="G7" i="3"/>
  <c r="G8" i="3"/>
  <c r="G9" i="3"/>
  <c r="G3" i="3"/>
  <c r="F3" i="3"/>
  <c r="L9" i="3"/>
  <c r="L8" i="3"/>
  <c r="L7" i="3"/>
  <c r="L6" i="3"/>
  <c r="L5" i="3"/>
  <c r="L4" i="3"/>
  <c r="L3" i="3"/>
  <c r="D9" i="3"/>
  <c r="F9" i="3" s="1"/>
  <c r="G10" i="3" l="1"/>
  <c r="L10" i="3"/>
  <c r="I9" i="3"/>
  <c r="D3" i="3"/>
  <c r="D4" i="3"/>
  <c r="F4" i="3" s="1"/>
  <c r="D5" i="3"/>
  <c r="F5" i="3" s="1"/>
  <c r="D7" i="3"/>
  <c r="F7" i="3" s="1"/>
  <c r="D8" i="3"/>
  <c r="F8" i="3" s="1"/>
  <c r="D6" i="3"/>
  <c r="F6" i="3" s="1"/>
  <c r="N12" i="1"/>
  <c r="O12" i="1"/>
  <c r="M12" i="1"/>
  <c r="P10" i="1"/>
  <c r="P9" i="1"/>
  <c r="P8" i="1"/>
  <c r="K12" i="1"/>
  <c r="L11" i="1"/>
  <c r="J10" i="1"/>
  <c r="L10" i="1" s="1"/>
  <c r="J9" i="1"/>
  <c r="J8" i="1"/>
  <c r="L8" i="1" s="1"/>
  <c r="J7" i="1"/>
  <c r="J6" i="1"/>
  <c r="J5" i="1"/>
  <c r="L5" i="1" s="1"/>
  <c r="P12" i="1" l="1"/>
  <c r="I6" i="3"/>
  <c r="J6" i="3" s="1"/>
  <c r="I5" i="3"/>
  <c r="I4" i="3"/>
  <c r="I3" i="3"/>
  <c r="I8" i="3"/>
  <c r="J8" i="3" s="1"/>
  <c r="I7" i="3"/>
  <c r="J9" i="3"/>
  <c r="K9" i="3" s="1"/>
  <c r="M9" i="3" s="1"/>
  <c r="N9" i="3" s="1"/>
  <c r="J12" i="1"/>
  <c r="L9" i="1"/>
  <c r="K8" i="3" l="1"/>
  <c r="K6" i="3"/>
  <c r="J3" i="3"/>
  <c r="K3" i="3"/>
  <c r="J4" i="3"/>
  <c r="K4" i="3" s="1"/>
  <c r="M4" i="3" s="1"/>
  <c r="N4" i="3" s="1"/>
  <c r="J7" i="3"/>
  <c r="K7" i="3" s="1"/>
  <c r="M7" i="3" s="1"/>
  <c r="N7" i="3" s="1"/>
  <c r="J5" i="3"/>
  <c r="K5" i="3" s="1"/>
  <c r="M5" i="3" s="1"/>
  <c r="N5" i="3" s="1"/>
  <c r="M8" i="3"/>
  <c r="N8" i="3" s="1"/>
  <c r="M6" i="3"/>
  <c r="N6" i="3" s="1"/>
  <c r="F8" i="2"/>
  <c r="F12" i="2" s="1"/>
  <c r="F9" i="2"/>
  <c r="F10" i="2"/>
  <c r="B12" i="2"/>
  <c r="M3" i="3" l="1"/>
  <c r="L7" i="1"/>
  <c r="L6" i="1"/>
  <c r="L12" i="1" l="1"/>
  <c r="N3" i="3"/>
  <c r="M10" i="3"/>
  <c r="N10" i="3" s="1"/>
</calcChain>
</file>

<file path=xl/sharedStrings.xml><?xml version="1.0" encoding="utf-8"?>
<sst xmlns="http://schemas.openxmlformats.org/spreadsheetml/2006/main" count="104" uniqueCount="62">
  <si>
    <t>Zeitraum</t>
  </si>
  <si>
    <t>Sollstunden</t>
  </si>
  <si>
    <t>Iststunden</t>
  </si>
  <si>
    <t>Üst 100 %</t>
  </si>
  <si>
    <t>ÜSt 50 %</t>
  </si>
  <si>
    <t>Summe</t>
  </si>
  <si>
    <t>Überstunden Abrechnung gemäß §2g AVRAG</t>
  </si>
  <si>
    <t>Dragoliub MARGAN</t>
  </si>
  <si>
    <t>Dienstnehmer: 29</t>
  </si>
  <si>
    <t>Juli</t>
  </si>
  <si>
    <t>aufrollen</t>
  </si>
  <si>
    <t>Juni</t>
  </si>
  <si>
    <t>Mai</t>
  </si>
  <si>
    <t>April</t>
  </si>
  <si>
    <t>Summe Nachzahlung an Steuern / Sozialversicherung</t>
  </si>
  <si>
    <t>Netto nach Aufrollung</t>
  </si>
  <si>
    <t>Netto vor Aufrollung</t>
  </si>
  <si>
    <t>Lohnverrechnung</t>
  </si>
  <si>
    <t>Monat</t>
  </si>
  <si>
    <t>ab hier übersteigen Lohnvorschüsse den Grenzbetrag 7.300 €</t>
  </si>
  <si>
    <t>unter Grenzbetrag</t>
  </si>
  <si>
    <t>März</t>
  </si>
  <si>
    <t>Februar</t>
  </si>
  <si>
    <t>Vorschüsse (Darlehen) Dienstnehmer 2026</t>
  </si>
  <si>
    <t>12.01.-31.01.2026</t>
  </si>
  <si>
    <t>01.02.-28.02.2026</t>
  </si>
  <si>
    <t>01.03.-12.03.2026</t>
  </si>
  <si>
    <t>01.04.-30.04.2026</t>
  </si>
  <si>
    <t>01.05.-31.05.2026</t>
  </si>
  <si>
    <t>01.06.-30.06.2026</t>
  </si>
  <si>
    <t>01.07.-16.07.2026</t>
  </si>
  <si>
    <t>Taggelder Ist</t>
  </si>
  <si>
    <t>Kürzung Taggelder</t>
  </si>
  <si>
    <t>Taggelder Soll</t>
  </si>
  <si>
    <t>Kilometergeld Ist</t>
  </si>
  <si>
    <t>Differenz</t>
  </si>
  <si>
    <t>Kilometergeld Soll</t>
  </si>
  <si>
    <t>unter Grenzbetrag 7.300 €</t>
  </si>
  <si>
    <t>Summe Nachzahlung LSt  / SV</t>
  </si>
  <si>
    <t>Kilometergelder Berichtigung</t>
  </si>
  <si>
    <t>Umstufung Lohngruppe 5 auf 4 + Sachbezug LKW</t>
  </si>
  <si>
    <t>Sachbezug KFZ</t>
  </si>
  <si>
    <t>Jänner</t>
  </si>
  <si>
    <t>Brutto vor Aufrollung</t>
  </si>
  <si>
    <t>Brutto nach Aufrollung</t>
  </si>
  <si>
    <t>Bruttolohn vorher</t>
  </si>
  <si>
    <t>Bruttolohn neu</t>
  </si>
  <si>
    <t>SV</t>
  </si>
  <si>
    <t>LSt</t>
  </si>
  <si>
    <t>LSt %</t>
  </si>
  <si>
    <t>SV + LSt vorher</t>
  </si>
  <si>
    <t>SV + LSt nachher</t>
  </si>
  <si>
    <t>Aufzahlung SV + LSt bei Umstufung LG 4 und Sachbezug KFZ</t>
  </si>
  <si>
    <t>Differenz Brutto abzgl. SB</t>
  </si>
  <si>
    <t>ÜSt-Entlohnung brutto (ÜGL + ÜZ 50%)</t>
  </si>
  <si>
    <t>ÜSt 50 % stfr</t>
  </si>
  <si>
    <t>Üst 50 % stpfl</t>
  </si>
  <si>
    <t>ÜGL + ÜZ 50 % stpfl.</t>
  </si>
  <si>
    <t>Umstufung Lohngruppe 5 auf 4 + Überstundenentlohnung</t>
  </si>
  <si>
    <t>Aufzahlung SV + LSt bei Üstd</t>
  </si>
  <si>
    <t>Tag- u. Nächtigungsgelder Berichtigung</t>
  </si>
  <si>
    <t>Versicherungsnr.: 4983050671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</si>
</sst>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€&quot;\ * #,##0.00_-;\-&quot;€&quot;\ * #,##0.00_-;_-&quot;€&quot;\ * &quot;-&quot;??_-;_-@_-"/>
  </numFmts>
  <fonts count="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11"/>
      <color rgb="FFFF0000"/>
      <name val="Aptos Narrow"/>
      <family val="2"/>
      <scheme val="minor"/>
    </font>
    <font>
      <b/>
      <sz val="11"/>
      <name val="Aptos Narrow"/>
      <family val="2"/>
      <scheme val="minor"/>
    </font>
    <font>
      <sz val="11"/>
      <color theme="9"/>
      <name val="Aptos Narrow"/>
      <family val="2"/>
      <scheme val="minor"/>
    </font>
    <font>
      <sz val="8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58">
    <xf numFmtId="0" fontId="0" fillId="0" borderId="0" xfId="0"/>
    <xf numFmtId="0" fontId="2" fillId="0" borderId="0" xfId="0" applyFont="1"/>
    <xf numFmtId="0" fontId="2" fillId="0" borderId="1" xfId="0" applyFont="1" applyBorder="1"/>
    <xf numFmtId="44" fontId="0" fillId="0" borderId="1" xfId="1" applyFont="1" applyBorder="1"/>
    <xf numFmtId="44" fontId="0" fillId="0" borderId="0" xfId="1" applyFont="1" applyBorder="1"/>
    <xf numFmtId="0" fontId="2" fillId="0" borderId="5" xfId="0" applyFont="1" applyBorder="1"/>
    <xf numFmtId="0" fontId="0" fillId="0" borderId="1" xfId="0" applyBorder="1"/>
    <xf numFmtId="44" fontId="0" fillId="0" borderId="5" xfId="1" applyFont="1" applyBorder="1"/>
    <xf numFmtId="0" fontId="0" fillId="0" borderId="6" xfId="0" applyBorder="1"/>
    <xf numFmtId="0" fontId="0" fillId="0" borderId="7" xfId="0" applyBorder="1"/>
    <xf numFmtId="2" fontId="0" fillId="0" borderId="0" xfId="0" applyNumberFormat="1"/>
    <xf numFmtId="0" fontId="0" fillId="0" borderId="0" xfId="0" applyAlignment="1">
      <alignment horizontal="left"/>
    </xf>
    <xf numFmtId="44" fontId="2" fillId="0" borderId="0" xfId="0" applyNumberFormat="1" applyFont="1"/>
    <xf numFmtId="44" fontId="0" fillId="0" borderId="0" xfId="1" applyFont="1"/>
    <xf numFmtId="0" fontId="4" fillId="0" borderId="0" xfId="0" applyFont="1"/>
    <xf numFmtId="0" fontId="5" fillId="0" borderId="0" xfId="0" applyFont="1"/>
    <xf numFmtId="0" fontId="6" fillId="0" borderId="0" xfId="0" applyFont="1"/>
    <xf numFmtId="44" fontId="2" fillId="0" borderId="9" xfId="1" applyFont="1" applyBorder="1"/>
    <xf numFmtId="44" fontId="2" fillId="0" borderId="10" xfId="1" applyFont="1" applyBorder="1"/>
    <xf numFmtId="44" fontId="2" fillId="0" borderId="11" xfId="1" applyFont="1" applyBorder="1"/>
    <xf numFmtId="0" fontId="0" fillId="0" borderId="5" xfId="0" applyBorder="1"/>
    <xf numFmtId="44" fontId="0" fillId="0" borderId="0" xfId="1" applyFont="1" applyFill="1" applyBorder="1"/>
    <xf numFmtId="44" fontId="0" fillId="0" borderId="0" xfId="0" applyNumberFormat="1"/>
    <xf numFmtId="44" fontId="2" fillId="0" borderId="0" xfId="1" applyFont="1"/>
    <xf numFmtId="44" fontId="1" fillId="0" borderId="0" xfId="1" applyFont="1"/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6" fillId="0" borderId="5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Fill="1"/>
    <xf numFmtId="44" fontId="0" fillId="0" borderId="1" xfId="1" applyFont="1" applyFill="1" applyBorder="1"/>
    <xf numFmtId="44" fontId="0" fillId="0" borderId="5" xfId="0" applyNumberFormat="1" applyFill="1" applyBorder="1"/>
    <xf numFmtId="0" fontId="0" fillId="0" borderId="7" xfId="0" applyFill="1" applyBorder="1"/>
    <xf numFmtId="44" fontId="0" fillId="0" borderId="8" xfId="1" applyFont="1" applyFill="1" applyBorder="1"/>
    <xf numFmtId="0" fontId="0" fillId="2" borderId="1" xfId="0" applyFill="1" applyBorder="1"/>
    <xf numFmtId="0" fontId="0" fillId="2" borderId="0" xfId="0" applyFill="1"/>
    <xf numFmtId="44" fontId="0" fillId="2" borderId="0" xfId="1" applyFont="1" applyFill="1" applyBorder="1"/>
    <xf numFmtId="44" fontId="0" fillId="2" borderId="1" xfId="1" applyFont="1" applyFill="1" applyBorder="1"/>
    <xf numFmtId="44" fontId="0" fillId="2" borderId="5" xfId="0" applyNumberFormat="1" applyFill="1" applyBorder="1"/>
    <xf numFmtId="0" fontId="6" fillId="2" borderId="0" xfId="0" applyFont="1" applyFill="1" applyAlignment="1">
      <alignment horizontal="center"/>
    </xf>
    <xf numFmtId="0" fontId="6" fillId="2" borderId="5" xfId="0" applyFont="1" applyFill="1" applyBorder="1" applyAlignment="1">
      <alignment horizontal="center"/>
    </xf>
    <xf numFmtId="44" fontId="0" fillId="2" borderId="5" xfId="1" applyFont="1" applyFill="1" applyBorder="1"/>
    <xf numFmtId="0" fontId="2" fillId="2" borderId="6" xfId="0" applyFont="1" applyFill="1" applyBorder="1"/>
    <xf numFmtId="0" fontId="2" fillId="2" borderId="7" xfId="0" applyFont="1" applyFill="1" applyBorder="1"/>
    <xf numFmtId="44" fontId="2" fillId="2" borderId="7" xfId="1" applyFont="1" applyFill="1" applyBorder="1"/>
    <xf numFmtId="44" fontId="2" fillId="2" borderId="9" xfId="1" applyFont="1" applyFill="1" applyBorder="1"/>
    <xf numFmtId="44" fontId="2" fillId="2" borderId="10" xfId="1" applyFont="1" applyFill="1" applyBorder="1"/>
    <xf numFmtId="44" fontId="2" fillId="2" borderId="11" xfId="1" applyFont="1" applyFill="1" applyBorder="1"/>
    <xf numFmtId="0" fontId="2" fillId="2" borderId="1" xfId="0" applyFont="1" applyFill="1" applyBorder="1"/>
    <xf numFmtId="0" fontId="2" fillId="2" borderId="0" xfId="0" applyFont="1" applyFill="1"/>
    <xf numFmtId="0" fontId="2" fillId="2" borderId="0" xfId="0" applyFont="1" applyFill="1" applyAlignment="1">
      <alignment wrapText="1"/>
    </xf>
    <xf numFmtId="0" fontId="2" fillId="2" borderId="5" xfId="0" applyFont="1" applyFill="1" applyBorder="1"/>
    <xf numFmtId="0" fontId="5" fillId="2" borderId="5" xfId="0" applyFont="1" applyFill="1" applyBorder="1" applyAlignment="1">
      <alignment wrapText="1"/>
    </xf>
  </cellXfs>
  <cellStyles count="2">
    <cellStyle name="Standard" xfId="0" builtinId="0"/>
    <cellStyle name="Währung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13</xdr:row>
      <xdr:rowOff>1</xdr:rowOff>
    </xdr:from>
    <xdr:ext cx="4900181" cy="7051039"/>
    <xdr:pic>
      <xdr:nvPicPr>
        <xdr:cNvPr id="2" name="Grafik 1">
          <a:extLst>
            <a:ext uri="{FF2B5EF4-FFF2-40B4-BE49-F238E27FC236}">
              <a16:creationId xmlns:a16="http://schemas.microsoft.com/office/drawing/2014/main" id="{A25BE202-0F50-416B-8CE9-75DD4B5F8D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377441"/>
          <a:ext cx="4900181" cy="7051039"/>
        </a:xfrm>
        <a:prstGeom prst="rect">
          <a:avLst/>
        </a:prstGeom>
      </xdr:spPr>
    </xdr:pic>
    <xdr:clientData/>
  </xdr:oneCellAnchor>
  <xdr:oneCellAnchor>
    <xdr:from>
      <xdr:col>5</xdr:col>
      <xdr:colOff>1</xdr:colOff>
      <xdr:row>13</xdr:row>
      <xdr:rowOff>0</xdr:rowOff>
    </xdr:from>
    <xdr:ext cx="4889016" cy="7038340"/>
    <xdr:pic>
      <xdr:nvPicPr>
        <xdr:cNvPr id="3" name="Grafik 2">
          <a:extLst>
            <a:ext uri="{FF2B5EF4-FFF2-40B4-BE49-F238E27FC236}">
              <a16:creationId xmlns:a16="http://schemas.microsoft.com/office/drawing/2014/main" id="{E4BFA7D0-59EF-4034-95FB-F017D84903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810001" y="2377440"/>
          <a:ext cx="4889016" cy="7038340"/>
        </a:xfrm>
        <a:prstGeom prst="rect">
          <a:avLst/>
        </a:prstGeom>
      </xdr:spPr>
    </xdr:pic>
    <xdr:clientData/>
  </xdr:oneCellAnchor>
  <xdr:oneCellAnchor>
    <xdr:from>
      <xdr:col>8</xdr:col>
      <xdr:colOff>203192</xdr:colOff>
      <xdr:row>13</xdr:row>
      <xdr:rowOff>21590</xdr:rowOff>
    </xdr:from>
    <xdr:ext cx="4925419" cy="7053580"/>
    <xdr:pic>
      <xdr:nvPicPr>
        <xdr:cNvPr id="4" name="Grafik 3">
          <a:extLst>
            <a:ext uri="{FF2B5EF4-FFF2-40B4-BE49-F238E27FC236}">
              <a16:creationId xmlns:a16="http://schemas.microsoft.com/office/drawing/2014/main" id="{24970B40-044A-4A65-9271-F8C9A91914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301732" y="2402840"/>
          <a:ext cx="4925419" cy="705358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936196-BF68-4C14-8880-38BBBB89036C}">
  <sheetPr>
    <pageSetUpPr fitToPage="1"/>
  </sheetPr>
  <dimension ref="B1:T13"/>
  <sheetViews>
    <sheetView tabSelected="1" zoomScale="115" zoomScaleNormal="115" workbookViewId="0">
      <selection activeCell="L28" sqref="L28"/>
    </sheetView>
  </sheetViews>
  <sheetFormatPr baseColWidth="10" defaultRowHeight="14.4" x14ac:dyDescent="0.3"/>
  <cols>
    <col min="2" max="2" width="16.44140625" bestFit="1" customWidth="1"/>
    <col min="3" max="3" width="11" bestFit="1" customWidth="1"/>
    <col min="4" max="4" width="9.77734375" bestFit="1" customWidth="1"/>
    <col min="5" max="5" width="8.21875" bestFit="1" customWidth="1"/>
    <col min="6" max="6" width="9.109375" bestFit="1" customWidth="1"/>
    <col min="7" max="7" width="11.5546875" bestFit="1" customWidth="1"/>
    <col min="8" max="8" width="12.21875" bestFit="1" customWidth="1"/>
    <col min="9" max="9" width="19.5546875" bestFit="1" customWidth="1"/>
    <col min="10" max="10" width="11.5546875" bestFit="1" customWidth="1"/>
    <col min="11" max="11" width="12.6640625" bestFit="1" customWidth="1"/>
    <col min="12" max="12" width="16.109375" bestFit="1" customWidth="1"/>
    <col min="13" max="13" width="12" bestFit="1" customWidth="1"/>
    <col min="14" max="14" width="17.6640625" bestFit="1" customWidth="1"/>
    <col min="15" max="15" width="19.21875" bestFit="1" customWidth="1"/>
    <col min="16" max="16" width="11.6640625" bestFit="1" customWidth="1"/>
    <col min="17" max="17" width="19.33203125" bestFit="1" customWidth="1"/>
    <col min="18" max="18" width="20.6640625" bestFit="1" customWidth="1"/>
    <col min="19" max="19" width="19.88671875" bestFit="1" customWidth="1"/>
  </cols>
  <sheetData>
    <row r="1" spans="2:20" x14ac:dyDescent="0.3">
      <c r="B1" t="s">
        <v>8</v>
      </c>
      <c r="C1" t="s">
        <v>7</v>
      </c>
      <c r="F1" t="s">
        <v>61</v>
      </c>
      <c r="K1" s="11"/>
    </row>
    <row r="3" spans="2:20" ht="15.6" x14ac:dyDescent="0.3">
      <c r="B3" s="25" t="s">
        <v>6</v>
      </c>
      <c r="C3" s="26"/>
      <c r="D3" s="26"/>
      <c r="E3" s="26"/>
      <c r="F3" s="26"/>
      <c r="G3" s="26"/>
      <c r="H3" s="26"/>
      <c r="I3" s="26"/>
      <c r="J3" s="25" t="s">
        <v>60</v>
      </c>
      <c r="K3" s="26"/>
      <c r="L3" s="27"/>
      <c r="M3" s="28" t="s">
        <v>23</v>
      </c>
      <c r="N3" s="29"/>
      <c r="O3" s="29"/>
      <c r="P3" s="30"/>
      <c r="T3" s="1"/>
    </row>
    <row r="4" spans="2:20" s="1" customFormat="1" ht="43.2" x14ac:dyDescent="0.3">
      <c r="B4" s="53" t="s">
        <v>0</v>
      </c>
      <c r="C4" s="54" t="s">
        <v>1</v>
      </c>
      <c r="D4" s="54" t="s">
        <v>2</v>
      </c>
      <c r="E4" s="54" t="s">
        <v>4</v>
      </c>
      <c r="F4" s="54" t="s">
        <v>3</v>
      </c>
      <c r="G4" s="54" t="s">
        <v>55</v>
      </c>
      <c r="H4" s="54" t="s">
        <v>56</v>
      </c>
      <c r="I4" s="55" t="s">
        <v>54</v>
      </c>
      <c r="J4" s="53" t="s">
        <v>31</v>
      </c>
      <c r="K4" s="54" t="s">
        <v>33</v>
      </c>
      <c r="L4" s="56" t="s">
        <v>32</v>
      </c>
      <c r="M4" s="53" t="s">
        <v>5</v>
      </c>
      <c r="N4" s="54" t="s">
        <v>16</v>
      </c>
      <c r="O4" s="54" t="s">
        <v>15</v>
      </c>
      <c r="P4" s="57" t="s">
        <v>38</v>
      </c>
    </row>
    <row r="5" spans="2:20" x14ac:dyDescent="0.3">
      <c r="B5" s="6" t="s">
        <v>24</v>
      </c>
      <c r="C5">
        <f>38.5*3</f>
        <v>115.5</v>
      </c>
      <c r="D5">
        <v>142</v>
      </c>
      <c r="E5" s="34">
        <f>D5-C5</f>
        <v>26.5</v>
      </c>
      <c r="F5" s="34">
        <v>0</v>
      </c>
      <c r="G5" s="34">
        <v>15</v>
      </c>
      <c r="H5" s="34">
        <f>E5-G5</f>
        <v>11.5</v>
      </c>
      <c r="I5" s="21">
        <f>(2759.39/143)*Endabrechnung!E5+((2759.39/143)*H5)*0.5</f>
        <v>622.30998251748247</v>
      </c>
      <c r="J5" s="35">
        <f>440+600</f>
        <v>1040</v>
      </c>
      <c r="K5" s="21">
        <v>395.82</v>
      </c>
      <c r="L5" s="36">
        <f>J5-K5</f>
        <v>644.18000000000006</v>
      </c>
      <c r="M5" s="35">
        <v>2300</v>
      </c>
      <c r="N5" s="31" t="s">
        <v>37</v>
      </c>
      <c r="O5" s="31"/>
      <c r="P5" s="32"/>
    </row>
    <row r="6" spans="2:20" x14ac:dyDescent="0.3">
      <c r="B6" s="39" t="s">
        <v>25</v>
      </c>
      <c r="C6" s="40">
        <f>38.5*4</f>
        <v>154</v>
      </c>
      <c r="D6" s="40">
        <v>174.5</v>
      </c>
      <c r="E6" s="40">
        <f t="shared" ref="E6:E11" si="0">D6-C6</f>
        <v>20.5</v>
      </c>
      <c r="F6" s="40">
        <v>0</v>
      </c>
      <c r="G6" s="40">
        <v>15</v>
      </c>
      <c r="H6" s="40">
        <f t="shared" ref="H6:H8" si="1">E6-G6</f>
        <v>5.5</v>
      </c>
      <c r="I6" s="41">
        <f>(2759.39/143)*Endabrechnung!E6+((2759.39/143)*H6)*0.5</f>
        <v>448.64208041958045</v>
      </c>
      <c r="J6" s="42">
        <f>476+840</f>
        <v>1316</v>
      </c>
      <c r="K6" s="41">
        <v>527.76</v>
      </c>
      <c r="L6" s="43">
        <f t="shared" ref="L6:L11" si="2">J6-K6</f>
        <v>788.24</v>
      </c>
      <c r="M6" s="42">
        <v>2000</v>
      </c>
      <c r="N6" s="44" t="s">
        <v>37</v>
      </c>
      <c r="O6" s="44"/>
      <c r="P6" s="45"/>
    </row>
    <row r="7" spans="2:20" x14ac:dyDescent="0.3">
      <c r="B7" s="6" t="s">
        <v>26</v>
      </c>
      <c r="C7">
        <f>38.5*4+8+8</f>
        <v>170</v>
      </c>
      <c r="D7">
        <v>201</v>
      </c>
      <c r="E7" s="34">
        <f>D7-C7</f>
        <v>31</v>
      </c>
      <c r="F7" s="34">
        <v>0</v>
      </c>
      <c r="G7" s="34">
        <v>15</v>
      </c>
      <c r="H7" s="34">
        <f t="shared" si="1"/>
        <v>16</v>
      </c>
      <c r="I7" s="21">
        <f>(2759.39/143)*Endabrechnung!E7+((2759.39/143)*H7)*0.5</f>
        <v>752.56090909090904</v>
      </c>
      <c r="J7" s="35">
        <f>837+1059</f>
        <v>1896</v>
      </c>
      <c r="K7" s="21">
        <v>587.76</v>
      </c>
      <c r="L7" s="36">
        <f t="shared" si="2"/>
        <v>1308.24</v>
      </c>
      <c r="M7" s="35">
        <v>3000</v>
      </c>
      <c r="N7" s="31" t="s">
        <v>37</v>
      </c>
      <c r="O7" s="31"/>
      <c r="P7" s="32"/>
    </row>
    <row r="8" spans="2:20" x14ac:dyDescent="0.3">
      <c r="B8" s="39" t="s">
        <v>27</v>
      </c>
      <c r="C8" s="40">
        <f>38.5*4+8+8-8</f>
        <v>162</v>
      </c>
      <c r="D8" s="40">
        <v>183.5</v>
      </c>
      <c r="E8" s="40">
        <f t="shared" si="0"/>
        <v>21.5</v>
      </c>
      <c r="F8" s="40">
        <v>0</v>
      </c>
      <c r="G8" s="40">
        <v>15</v>
      </c>
      <c r="H8" s="40">
        <f t="shared" si="1"/>
        <v>6.5</v>
      </c>
      <c r="I8" s="41">
        <f>(2759.39/143)*Endabrechnung!E8+((2759.39/143)*H8)*0.5</f>
        <v>477.58673076923083</v>
      </c>
      <c r="J8" s="42">
        <f>760.7+210+811.9</f>
        <v>1782.6</v>
      </c>
      <c r="K8" s="41">
        <v>575.82000000000005</v>
      </c>
      <c r="L8" s="43">
        <f t="shared" si="2"/>
        <v>1206.7799999999997</v>
      </c>
      <c r="M8" s="42">
        <v>3500</v>
      </c>
      <c r="N8" s="41">
        <v>866.12</v>
      </c>
      <c r="O8" s="41">
        <v>-931.03</v>
      </c>
      <c r="P8" s="46">
        <f>N8-O8</f>
        <v>1797.15</v>
      </c>
    </row>
    <row r="9" spans="2:20" x14ac:dyDescent="0.3">
      <c r="B9" s="6" t="s">
        <v>28</v>
      </c>
      <c r="C9">
        <f>38.5*4+6.5-6.5-8-8</f>
        <v>138</v>
      </c>
      <c r="D9">
        <v>175.5</v>
      </c>
      <c r="E9" s="34">
        <f t="shared" si="0"/>
        <v>37.5</v>
      </c>
      <c r="F9" s="34">
        <v>0</v>
      </c>
      <c r="G9" s="34">
        <v>15</v>
      </c>
      <c r="H9" s="34">
        <f>E9+E10+E11-G9</f>
        <v>18</v>
      </c>
      <c r="I9" s="21">
        <f>(2759.39/143)*Endabrechnung!E9+((2759.39/143)*H9)*0.5</f>
        <v>897.2841608391609</v>
      </c>
      <c r="J9" s="35">
        <f>527+840</f>
        <v>1367</v>
      </c>
      <c r="K9" s="21">
        <v>467.76</v>
      </c>
      <c r="L9" s="36">
        <f t="shared" si="2"/>
        <v>899.24</v>
      </c>
      <c r="M9" s="35">
        <v>2000</v>
      </c>
      <c r="N9" s="4">
        <v>1998.68</v>
      </c>
      <c r="O9" s="4">
        <v>1212.68</v>
      </c>
      <c r="P9" s="7">
        <f>N9-O9</f>
        <v>786</v>
      </c>
    </row>
    <row r="10" spans="2:20" x14ac:dyDescent="0.3">
      <c r="B10" s="39" t="s">
        <v>29</v>
      </c>
      <c r="C10" s="40">
        <f>38.5*4+16-8</f>
        <v>162</v>
      </c>
      <c r="D10" s="40">
        <v>183</v>
      </c>
      <c r="E10" s="40">
        <f t="shared" si="0"/>
        <v>21</v>
      </c>
      <c r="F10" s="40">
        <v>0</v>
      </c>
      <c r="G10" s="40">
        <v>0</v>
      </c>
      <c r="H10" s="40">
        <v>0</v>
      </c>
      <c r="I10" s="41">
        <f>(2759.39/143)*Endabrechnung!E10+((2759.39/143)*H10)*0.5</f>
        <v>405.22510489510489</v>
      </c>
      <c r="J10" s="42">
        <f>749.8+1016.6</f>
        <v>1766.4</v>
      </c>
      <c r="K10" s="41">
        <v>515.82000000000005</v>
      </c>
      <c r="L10" s="43">
        <f t="shared" si="2"/>
        <v>1250.58</v>
      </c>
      <c r="M10" s="42">
        <v>1000</v>
      </c>
      <c r="N10" s="41">
        <v>2784.65</v>
      </c>
      <c r="O10" s="41">
        <v>2404.65</v>
      </c>
      <c r="P10" s="46">
        <f>N10-O10</f>
        <v>380</v>
      </c>
    </row>
    <row r="11" spans="2:20" x14ac:dyDescent="0.3">
      <c r="B11" s="8" t="s">
        <v>30</v>
      </c>
      <c r="C11" s="9">
        <f>38.5*2+16</f>
        <v>93</v>
      </c>
      <c r="D11" s="9">
        <v>67.5</v>
      </c>
      <c r="E11" s="37">
        <f t="shared" si="0"/>
        <v>-25.5</v>
      </c>
      <c r="F11" s="37">
        <v>0</v>
      </c>
      <c r="G11" s="37">
        <v>0</v>
      </c>
      <c r="H11" s="37">
        <v>0</v>
      </c>
      <c r="I11" s="38">
        <f>(2759.39/143)*Endabrechnung!E11+((2759.39/143)*H11)*0.5</f>
        <v>-492.05905594405596</v>
      </c>
      <c r="J11" s="35">
        <v>293.88</v>
      </c>
      <c r="K11" s="21">
        <v>293.88</v>
      </c>
      <c r="L11" s="36">
        <f t="shared" si="2"/>
        <v>0</v>
      </c>
      <c r="M11" s="35"/>
      <c r="P11" s="20"/>
    </row>
    <row r="12" spans="2:20" s="1" customFormat="1" x14ac:dyDescent="0.3">
      <c r="B12" s="47" t="s">
        <v>5</v>
      </c>
      <c r="C12" s="48">
        <f>SUM(C5:C11)</f>
        <v>994.5</v>
      </c>
      <c r="D12" s="48">
        <f t="shared" ref="D12" si="3">SUM(D5:D11)</f>
        <v>1127</v>
      </c>
      <c r="E12" s="48">
        <f>SUM(E5:E11)</f>
        <v>132.5</v>
      </c>
      <c r="F12" s="48">
        <f t="shared" ref="F12" si="4">SUM(F5:F11)</f>
        <v>0</v>
      </c>
      <c r="G12" s="48">
        <f>SUM(G5:G11)</f>
        <v>75</v>
      </c>
      <c r="H12" s="48">
        <f>SUM(H5:H11)</f>
        <v>57.5</v>
      </c>
      <c r="I12" s="49">
        <f>(2759.39/143)*E12+((2759.39/143)*E12)*0.5</f>
        <v>3835.1661713286712</v>
      </c>
      <c r="J12" s="50">
        <f>SUM(J5:J11)</f>
        <v>9461.8799999999992</v>
      </c>
      <c r="K12" s="51">
        <f>SUM(K5:K11)</f>
        <v>3364.6200000000003</v>
      </c>
      <c r="L12" s="51">
        <f>SUM(L5:L11)</f>
        <v>6097.2599999999993</v>
      </c>
      <c r="M12" s="50">
        <f>SUM(M5:M11)</f>
        <v>13800</v>
      </c>
      <c r="N12" s="51">
        <f t="shared" ref="N12:P12" si="5">SUM(N5:N11)</f>
        <v>5649.4500000000007</v>
      </c>
      <c r="O12" s="51">
        <f t="shared" si="5"/>
        <v>2686.3</v>
      </c>
      <c r="P12" s="52">
        <f t="shared" si="5"/>
        <v>2963.15</v>
      </c>
    </row>
    <row r="13" spans="2:20" x14ac:dyDescent="0.3">
      <c r="I13" s="10"/>
    </row>
  </sheetData>
  <mergeCells count="6">
    <mergeCell ref="M3:P3"/>
    <mergeCell ref="N5:P5"/>
    <mergeCell ref="N6:P6"/>
    <mergeCell ref="N7:P7"/>
    <mergeCell ref="B3:I3"/>
    <mergeCell ref="J3:L3"/>
  </mergeCells>
  <pageMargins left="0.7" right="0.7" top="0.78740157499999996" bottom="0.78740157499999996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327D6B-6191-4EBB-84E0-42A6E6D9F276}">
  <dimension ref="A1:F12"/>
  <sheetViews>
    <sheetView workbookViewId="0">
      <selection activeCell="A4" sqref="A4"/>
    </sheetView>
  </sheetViews>
  <sheetFormatPr baseColWidth="10" defaultRowHeight="14.4" x14ac:dyDescent="0.3"/>
  <cols>
    <col min="1" max="1" width="7.109375" bestFit="1" customWidth="1"/>
    <col min="2" max="2" width="11.88671875" bestFit="1" customWidth="1"/>
    <col min="3" max="3" width="15.44140625" bestFit="1" customWidth="1"/>
    <col min="4" max="4" width="17.44140625" bestFit="1" customWidth="1"/>
    <col min="5" max="5" width="19" bestFit="1" customWidth="1"/>
    <col min="6" max="6" width="45.6640625" bestFit="1" customWidth="1"/>
  </cols>
  <sheetData>
    <row r="1" spans="1:6" x14ac:dyDescent="0.3">
      <c r="A1" s="33" t="s">
        <v>23</v>
      </c>
      <c r="B1" s="33"/>
      <c r="C1" s="33"/>
      <c r="D1" s="33"/>
    </row>
    <row r="2" spans="1:6" s="1" customFormat="1" x14ac:dyDescent="0.3">
      <c r="A2" s="1" t="s">
        <v>18</v>
      </c>
      <c r="B2" s="1" t="s">
        <v>5</v>
      </c>
      <c r="C2" s="1" t="s">
        <v>17</v>
      </c>
    </row>
    <row r="3" spans="1:6" x14ac:dyDescent="0.3">
      <c r="A3" t="s">
        <v>42</v>
      </c>
      <c r="B3" s="13">
        <v>2300</v>
      </c>
      <c r="C3" s="16" t="s">
        <v>20</v>
      </c>
    </row>
    <row r="4" spans="1:6" x14ac:dyDescent="0.3">
      <c r="A4" t="s">
        <v>22</v>
      </c>
      <c r="B4" s="13">
        <v>2000</v>
      </c>
      <c r="C4" s="16" t="s">
        <v>20</v>
      </c>
    </row>
    <row r="5" spans="1:6" x14ac:dyDescent="0.3">
      <c r="A5" t="s">
        <v>21</v>
      </c>
      <c r="B5" s="13">
        <v>3000</v>
      </c>
      <c r="C5" s="16" t="s">
        <v>20</v>
      </c>
    </row>
    <row r="6" spans="1:6" x14ac:dyDescent="0.3">
      <c r="A6" s="14" t="s">
        <v>19</v>
      </c>
      <c r="C6" s="16"/>
    </row>
    <row r="7" spans="1:6" s="14" customFormat="1" x14ac:dyDescent="0.3">
      <c r="A7" s="1" t="s">
        <v>18</v>
      </c>
      <c r="B7" s="1" t="s">
        <v>5</v>
      </c>
      <c r="C7" s="1" t="s">
        <v>17</v>
      </c>
      <c r="D7" s="1" t="s">
        <v>16</v>
      </c>
      <c r="E7" s="1" t="s">
        <v>15</v>
      </c>
      <c r="F7" s="15" t="s">
        <v>14</v>
      </c>
    </row>
    <row r="8" spans="1:6" x14ac:dyDescent="0.3">
      <c r="A8" t="s">
        <v>13</v>
      </c>
      <c r="B8" s="13">
        <v>3500</v>
      </c>
      <c r="C8" s="14" t="s">
        <v>10</v>
      </c>
      <c r="D8" s="13">
        <v>866.12</v>
      </c>
      <c r="E8" s="13">
        <v>-931.03</v>
      </c>
      <c r="F8" s="13">
        <f>D8-E8</f>
        <v>1797.15</v>
      </c>
    </row>
    <row r="9" spans="1:6" x14ac:dyDescent="0.3">
      <c r="A9" t="s">
        <v>12</v>
      </c>
      <c r="B9" s="13">
        <v>2000</v>
      </c>
      <c r="C9" s="14" t="s">
        <v>10</v>
      </c>
      <c r="D9" s="13">
        <v>1998.68</v>
      </c>
      <c r="E9" s="13">
        <v>1212.68</v>
      </c>
      <c r="F9" s="13">
        <f>D9-E9</f>
        <v>786</v>
      </c>
    </row>
    <row r="10" spans="1:6" x14ac:dyDescent="0.3">
      <c r="A10" t="s">
        <v>11</v>
      </c>
      <c r="B10" s="13">
        <v>1000</v>
      </c>
      <c r="C10" s="14" t="s">
        <v>10</v>
      </c>
      <c r="D10" s="13">
        <v>2784.65</v>
      </c>
      <c r="E10" s="13">
        <v>2404.65</v>
      </c>
      <c r="F10" s="13">
        <f>D10-E10</f>
        <v>380</v>
      </c>
    </row>
    <row r="11" spans="1:6" x14ac:dyDescent="0.3">
      <c r="A11" t="s">
        <v>9</v>
      </c>
      <c r="B11" s="13"/>
      <c r="C11" s="14"/>
      <c r="D11" s="13"/>
      <c r="E11" s="13"/>
      <c r="F11" s="13"/>
    </row>
    <row r="12" spans="1:6" s="1" customFormat="1" x14ac:dyDescent="0.3">
      <c r="A12" s="1" t="s">
        <v>5</v>
      </c>
      <c r="B12" s="12">
        <f>SUM(B3:B11)</f>
        <v>13800</v>
      </c>
      <c r="F12" s="12">
        <f>SUM(F8:F10)</f>
        <v>2963.15</v>
      </c>
    </row>
  </sheetData>
  <mergeCells count="1">
    <mergeCell ref="A1:D1"/>
  </mergeCells>
  <pageMargins left="0.7" right="0.7" top="0.78740157499999996" bottom="0.78740157499999996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508080-B76F-4677-8CBD-BDE3418FDBCE}">
  <dimension ref="A1:N11"/>
  <sheetViews>
    <sheetView workbookViewId="0">
      <selection activeCell="L6" sqref="L6"/>
    </sheetView>
  </sheetViews>
  <sheetFormatPr baseColWidth="10" defaultRowHeight="14.4" x14ac:dyDescent="0.3"/>
  <cols>
    <col min="2" max="3" width="17.33203125" customWidth="1"/>
    <col min="4" max="4" width="16.88671875" bestFit="1" customWidth="1"/>
    <col min="5" max="5" width="19.33203125" bestFit="1" customWidth="1"/>
    <col min="6" max="6" width="20.6640625" bestFit="1" customWidth="1"/>
    <col min="7" max="7" width="10" customWidth="1"/>
    <col min="8" max="8" width="10.88671875" bestFit="1" customWidth="1"/>
    <col min="9" max="9" width="5.88671875" bestFit="1" customWidth="1"/>
    <col min="10" max="10" width="10.88671875" bestFit="1" customWidth="1"/>
    <col min="11" max="11" width="14.33203125" bestFit="1" customWidth="1"/>
    <col min="12" max="12" width="15.6640625" bestFit="1" customWidth="1"/>
    <col min="13" max="13" width="26.5546875" bestFit="1" customWidth="1"/>
    <col min="14" max="14" width="10.88671875" bestFit="1" customWidth="1"/>
  </cols>
  <sheetData>
    <row r="1" spans="1:14" x14ac:dyDescent="0.3">
      <c r="A1" s="33" t="s">
        <v>58</v>
      </c>
      <c r="B1" s="33"/>
      <c r="C1" s="33"/>
      <c r="D1" s="33"/>
      <c r="E1" s="33"/>
      <c r="F1" s="33"/>
      <c r="G1" s="1"/>
      <c r="H1" s="1"/>
    </row>
    <row r="2" spans="1:14" x14ac:dyDescent="0.3">
      <c r="A2" s="1" t="s">
        <v>18</v>
      </c>
      <c r="B2" s="1" t="s">
        <v>45</v>
      </c>
      <c r="C2" s="1" t="s">
        <v>46</v>
      </c>
      <c r="D2" s="1" t="s">
        <v>57</v>
      </c>
      <c r="E2" s="1" t="s">
        <v>43</v>
      </c>
      <c r="F2" s="1" t="s">
        <v>44</v>
      </c>
      <c r="G2" s="1"/>
      <c r="H2" s="15" t="s">
        <v>47</v>
      </c>
      <c r="I2" s="1" t="s">
        <v>49</v>
      </c>
      <c r="J2" s="1" t="s">
        <v>48</v>
      </c>
      <c r="K2" s="1" t="s">
        <v>50</v>
      </c>
      <c r="L2" s="1" t="s">
        <v>51</v>
      </c>
      <c r="M2" s="1" t="s">
        <v>59</v>
      </c>
    </row>
    <row r="3" spans="1:14" x14ac:dyDescent="0.3">
      <c r="A3" t="s">
        <v>42</v>
      </c>
      <c r="B3" s="13">
        <v>2627.28</v>
      </c>
      <c r="C3" s="13">
        <v>2759.39</v>
      </c>
      <c r="D3" s="13">
        <f>Endabrechnung!I5</f>
        <v>622.30998251748247</v>
      </c>
      <c r="E3" s="13">
        <v>1751.52</v>
      </c>
      <c r="F3" s="13">
        <f>E3-B3+C3+D3</f>
        <v>2505.9399825174823</v>
      </c>
      <c r="G3" s="13"/>
      <c r="H3" s="13">
        <f t="shared" ref="H3:H9" si="0">IF(F3&lt;2225,(0.1807-0.0295)*F3,IF(F3&lt;2427,(0.1807-0.0195)*F3,IF(F3&lt;2630,(0.1807-0.0095)*F3,0.1807*F3)))</f>
        <v>429.01692500699295</v>
      </c>
      <c r="I3">
        <f t="shared" ref="I3:I9" si="1">IF(F3-H3&lt;1128.25,0,IF(F3-H3&lt;=1843.67,0.2,IF(F3-H3&lt;=3049.17,0.3,IF(F3-H3&lt;=5874.75,0.4,IF(F3-H3&lt;=8749.25,0.48,IF(F3-H3&lt;=83344.33,0.5,0.55))))))</f>
        <v>0.3</v>
      </c>
      <c r="J3" s="13">
        <f t="shared" ref="J3:J9" si="2">(F3-H3)*I3</f>
        <v>623.0769172531468</v>
      </c>
      <c r="K3" s="13">
        <f>264.84+143.64</f>
        <v>408.47999999999996</v>
      </c>
      <c r="L3" s="13">
        <f>H3+J3</f>
        <v>1052.0938422601398</v>
      </c>
      <c r="M3" s="22">
        <f>L3-K3</f>
        <v>643.61384226013979</v>
      </c>
    </row>
    <row r="4" spans="1:14" x14ac:dyDescent="0.3">
      <c r="A4" t="s">
        <v>22</v>
      </c>
      <c r="B4" s="13">
        <v>2627.28</v>
      </c>
      <c r="C4" s="13">
        <v>2759.39</v>
      </c>
      <c r="D4" s="13">
        <f>Endabrechnung!I6</f>
        <v>448.64208041958045</v>
      </c>
      <c r="E4" s="13">
        <v>2627.28</v>
      </c>
      <c r="F4" s="13">
        <f t="shared" ref="F4:F6" si="3">E4-B4+C4+D4</f>
        <v>3208.0320804195803</v>
      </c>
      <c r="G4" s="13"/>
      <c r="H4" s="13">
        <f t="shared" si="0"/>
        <v>579.69139693181819</v>
      </c>
      <c r="I4">
        <f t="shared" si="1"/>
        <v>0.3</v>
      </c>
      <c r="J4" s="13">
        <f t="shared" si="2"/>
        <v>788.50220504632864</v>
      </c>
      <c r="K4" s="13">
        <f>449.8+199.69</f>
        <v>649.49</v>
      </c>
      <c r="L4" s="13">
        <f t="shared" ref="L4:L8" si="4">H4+J4</f>
        <v>1368.1936019781469</v>
      </c>
      <c r="M4" s="22">
        <f t="shared" ref="M4:M9" si="5">L4-K4</f>
        <v>718.70360197814693</v>
      </c>
    </row>
    <row r="5" spans="1:14" x14ac:dyDescent="0.3">
      <c r="A5" t="s">
        <v>21</v>
      </c>
      <c r="B5" s="13">
        <v>2627.28</v>
      </c>
      <c r="C5" s="13">
        <v>2759.39</v>
      </c>
      <c r="D5" s="13">
        <f>Endabrechnung!I7</f>
        <v>752.56090909090904</v>
      </c>
      <c r="E5" s="13">
        <v>2627.28</v>
      </c>
      <c r="F5" s="13">
        <f t="shared" si="3"/>
        <v>3511.9509090909087</v>
      </c>
      <c r="G5" s="13"/>
      <c r="H5" s="13">
        <f t="shared" si="0"/>
        <v>634.60952927272717</v>
      </c>
      <c r="I5">
        <f t="shared" si="1"/>
        <v>0.3</v>
      </c>
      <c r="J5" s="13">
        <f t="shared" si="2"/>
        <v>863.2024139454544</v>
      </c>
      <c r="K5" s="13">
        <f>449.8+199.69</f>
        <v>649.49</v>
      </c>
      <c r="L5" s="13">
        <f>H5+J5</f>
        <v>1497.8119432181816</v>
      </c>
      <c r="M5" s="22">
        <f t="shared" si="5"/>
        <v>848.32194321818156</v>
      </c>
    </row>
    <row r="6" spans="1:14" x14ac:dyDescent="0.3">
      <c r="A6" t="s">
        <v>13</v>
      </c>
      <c r="B6" s="13">
        <v>2627.28</v>
      </c>
      <c r="C6" s="13">
        <v>2759.39</v>
      </c>
      <c r="D6" s="13">
        <f>Endabrechnung!I8</f>
        <v>477.58673076923083</v>
      </c>
      <c r="E6" s="13">
        <v>3203.89</v>
      </c>
      <c r="F6" s="13">
        <f t="shared" si="3"/>
        <v>3813.5867307692306</v>
      </c>
      <c r="G6" s="13"/>
      <c r="H6" s="13">
        <f t="shared" si="0"/>
        <v>689.11512225000001</v>
      </c>
      <c r="I6">
        <f t="shared" si="1"/>
        <v>0.4</v>
      </c>
      <c r="J6" s="13">
        <f t="shared" si="2"/>
        <v>1249.7886434076922</v>
      </c>
      <c r="K6" s="13">
        <f>449.8+252.68</f>
        <v>702.48</v>
      </c>
      <c r="L6" s="13">
        <f t="shared" si="4"/>
        <v>1938.9037656576922</v>
      </c>
      <c r="M6" s="22">
        <f t="shared" si="5"/>
        <v>1236.4237656576922</v>
      </c>
    </row>
    <row r="7" spans="1:14" x14ac:dyDescent="0.3">
      <c r="A7" t="s">
        <v>12</v>
      </c>
      <c r="B7" s="13">
        <v>2627.28</v>
      </c>
      <c r="C7" s="13">
        <v>2759.39</v>
      </c>
      <c r="D7" s="13">
        <f>Endabrechnung!I9</f>
        <v>897.2841608391609</v>
      </c>
      <c r="E7" s="13">
        <v>2627.28</v>
      </c>
      <c r="F7" s="13">
        <f>E7-B7+C7+D7</f>
        <v>3656.6741608391608</v>
      </c>
      <c r="G7" s="13"/>
      <c r="H7" s="13">
        <f t="shared" si="0"/>
        <v>660.7610208636363</v>
      </c>
      <c r="I7">
        <f t="shared" si="1"/>
        <v>0.3</v>
      </c>
      <c r="J7" s="13">
        <f t="shared" si="2"/>
        <v>898.77394199265723</v>
      </c>
      <c r="K7" s="13">
        <f>449.8+199.69</f>
        <v>649.49</v>
      </c>
      <c r="L7" s="13">
        <f t="shared" si="4"/>
        <v>1559.5349628562935</v>
      </c>
      <c r="M7" s="22">
        <f t="shared" si="5"/>
        <v>910.04496285629352</v>
      </c>
    </row>
    <row r="8" spans="1:14" x14ac:dyDescent="0.3">
      <c r="A8" t="s">
        <v>11</v>
      </c>
      <c r="B8" s="13">
        <v>2627.28</v>
      </c>
      <c r="C8" s="13">
        <v>2759.39</v>
      </c>
      <c r="D8" s="13">
        <f>Endabrechnung!I10</f>
        <v>405.22510489510489</v>
      </c>
      <c r="E8" s="13">
        <v>5074.6099999999997</v>
      </c>
      <c r="F8" s="13">
        <f>E8-B8-B8+C8+C8+D8</f>
        <v>5744.0551048951038</v>
      </c>
      <c r="G8" s="13"/>
      <c r="H8" s="13">
        <f t="shared" si="0"/>
        <v>1037.9507574545453</v>
      </c>
      <c r="I8">
        <f t="shared" si="1"/>
        <v>0.4</v>
      </c>
      <c r="J8" s="13">
        <f t="shared" si="2"/>
        <v>1882.4417389762236</v>
      </c>
      <c r="K8" s="13">
        <f>844.31+285.66</f>
        <v>1129.97</v>
      </c>
      <c r="L8" s="13">
        <f t="shared" si="4"/>
        <v>2920.3924964307689</v>
      </c>
      <c r="M8" s="22">
        <f t="shared" si="5"/>
        <v>1790.4224964307689</v>
      </c>
    </row>
    <row r="9" spans="1:14" x14ac:dyDescent="0.3">
      <c r="A9" t="s">
        <v>9</v>
      </c>
      <c r="B9" s="13">
        <v>2627.28</v>
      </c>
      <c r="C9" s="13">
        <v>2760.39</v>
      </c>
      <c r="D9" s="13">
        <f>Endabrechnung!I11</f>
        <v>-492.05905594405596</v>
      </c>
      <c r="E9" s="13">
        <v>2570.61</v>
      </c>
      <c r="F9" s="13">
        <f>E9-B9+C9+D9</f>
        <v>2211.6609440559437</v>
      </c>
      <c r="G9" s="13"/>
      <c r="H9" s="13">
        <f t="shared" si="0"/>
        <v>334.40313474125867</v>
      </c>
      <c r="I9">
        <f t="shared" si="1"/>
        <v>0.3</v>
      </c>
      <c r="J9" s="13">
        <f t="shared" si="2"/>
        <v>563.17734279440549</v>
      </c>
      <c r="K9" s="13">
        <f>385.04+127</f>
        <v>512.04</v>
      </c>
      <c r="L9" s="13">
        <f>H9+J9</f>
        <v>897.58047753566416</v>
      </c>
      <c r="M9" s="22">
        <f t="shared" si="5"/>
        <v>385.54047753566419</v>
      </c>
    </row>
    <row r="10" spans="1:14" x14ac:dyDescent="0.3">
      <c r="A10" s="1" t="s">
        <v>5</v>
      </c>
      <c r="B10" s="12">
        <f>SUM(B3:B9)</f>
        <v>18390.960000000003</v>
      </c>
      <c r="C10" s="12"/>
      <c r="D10" s="1"/>
      <c r="E10" s="1"/>
      <c r="F10" s="12">
        <f>SUM(F3:F9)</f>
        <v>24651.899912587407</v>
      </c>
      <c r="G10" s="1"/>
      <c r="H10" s="1"/>
      <c r="I10" s="22"/>
      <c r="J10" s="13"/>
      <c r="K10" s="23">
        <f>SUM(K3:K9)</f>
        <v>4701.4400000000005</v>
      </c>
      <c r="L10" s="23">
        <f>SUM(L3:L9)</f>
        <v>11234.511089936886</v>
      </c>
      <c r="M10" s="23">
        <f>SUM(M3:M9)</f>
        <v>6533.0710899368878</v>
      </c>
      <c r="N10" s="12"/>
    </row>
    <row r="11" spans="1:14" x14ac:dyDescent="0.3">
      <c r="M11" s="22"/>
    </row>
  </sheetData>
  <mergeCells count="1">
    <mergeCell ref="A1:F1"/>
  </mergeCells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37DA85-099F-44D2-A2F7-9BEDBA139669}">
  <dimension ref="A1:N23"/>
  <sheetViews>
    <sheetView workbookViewId="0">
      <selection activeCell="E22" sqref="E22"/>
    </sheetView>
  </sheetViews>
  <sheetFormatPr baseColWidth="10" defaultRowHeight="14.4" x14ac:dyDescent="0.3"/>
  <cols>
    <col min="2" max="3" width="17.33203125" customWidth="1"/>
    <col min="4" max="4" width="16.88671875" bestFit="1" customWidth="1"/>
    <col min="5" max="5" width="19.33203125" bestFit="1" customWidth="1"/>
    <col min="6" max="6" width="20.6640625" bestFit="1" customWidth="1"/>
    <col min="7" max="7" width="15.44140625" bestFit="1" customWidth="1"/>
    <col min="8" max="8" width="20.6640625" customWidth="1"/>
    <col min="9" max="9" width="10.88671875" bestFit="1" customWidth="1"/>
    <col min="10" max="10" width="5.88671875" bestFit="1" customWidth="1"/>
    <col min="11" max="11" width="10.88671875" bestFit="1" customWidth="1"/>
    <col min="12" max="12" width="14.33203125" bestFit="1" customWidth="1"/>
    <col min="13" max="13" width="15.6640625" bestFit="1" customWidth="1"/>
    <col min="14" max="14" width="54.6640625" bestFit="1" customWidth="1"/>
  </cols>
  <sheetData>
    <row r="1" spans="1:14" x14ac:dyDescent="0.3">
      <c r="A1" s="33" t="s">
        <v>40</v>
      </c>
      <c r="B1" s="33"/>
      <c r="C1" s="33"/>
      <c r="D1" s="33"/>
      <c r="E1" s="33"/>
      <c r="F1" s="33"/>
      <c r="G1" s="33"/>
      <c r="H1" s="33"/>
      <c r="I1" s="33"/>
    </row>
    <row r="2" spans="1:14" x14ac:dyDescent="0.3">
      <c r="A2" s="1" t="s">
        <v>18</v>
      </c>
      <c r="B2" s="1" t="s">
        <v>45</v>
      </c>
      <c r="C2" s="1" t="s">
        <v>46</v>
      </c>
      <c r="D2" s="1" t="s">
        <v>41</v>
      </c>
      <c r="E2" s="1" t="s">
        <v>43</v>
      </c>
      <c r="F2" s="1" t="s">
        <v>44</v>
      </c>
      <c r="G2" s="1" t="s">
        <v>53</v>
      </c>
      <c r="H2" s="1"/>
      <c r="I2" s="15" t="s">
        <v>47</v>
      </c>
      <c r="J2" s="1" t="s">
        <v>49</v>
      </c>
      <c r="K2" s="1" t="s">
        <v>48</v>
      </c>
      <c r="L2" s="1" t="s">
        <v>50</v>
      </c>
      <c r="M2" s="1" t="s">
        <v>51</v>
      </c>
      <c r="N2" s="1" t="s">
        <v>52</v>
      </c>
    </row>
    <row r="3" spans="1:14" x14ac:dyDescent="0.3">
      <c r="A3" t="s">
        <v>42</v>
      </c>
      <c r="B3" s="13">
        <v>2627.28</v>
      </c>
      <c r="C3" s="13">
        <v>2759.39</v>
      </c>
      <c r="D3" s="13">
        <f t="shared" ref="D3:D5" si="0">(26291.67*1.2)*0.02</f>
        <v>631.00007999999991</v>
      </c>
      <c r="E3" s="13">
        <v>1751.52</v>
      </c>
      <c r="F3" s="13">
        <f>E3-B3+C3+D3</f>
        <v>2514.6300799999995</v>
      </c>
      <c r="G3" s="13">
        <f>F3-E3-D3</f>
        <v>132.10999999999956</v>
      </c>
      <c r="H3" s="13"/>
      <c r="I3" s="13">
        <f>IF(F3&lt;2225,(0.1807-0.0295)*F3,IF(F3&lt;2427,(0.1807-0.0195)*F3,IF(F3&lt;2630,(0.1807-0.0095)*F3,0.1807*F3)))</f>
        <v>430.50466969599989</v>
      </c>
      <c r="J3">
        <f>IF(F3-I3&lt;1128.25,0,IF(F3-I3&lt;=1843.67,0.2,IF(F3-I3&lt;=3049.17,0.3,IF(F3-I3&lt;=5874.75,0.4,IF(F3-I3&lt;=8749.25,0.48,IF(F3-I3&lt;=83344.33,0.5,0.55))))))</f>
        <v>0.3</v>
      </c>
      <c r="K3" s="13">
        <f>(F3-I3)*J3</f>
        <v>625.23762309119991</v>
      </c>
      <c r="L3" s="13">
        <f>264.84+143.64</f>
        <v>408.47999999999996</v>
      </c>
      <c r="M3" s="13">
        <f>I3+K3</f>
        <v>1055.7422927871999</v>
      </c>
      <c r="N3" s="22">
        <f>M3-L3</f>
        <v>647.26229278719984</v>
      </c>
    </row>
    <row r="4" spans="1:14" x14ac:dyDescent="0.3">
      <c r="A4" t="s">
        <v>22</v>
      </c>
      <c r="B4" s="13">
        <v>2627.28</v>
      </c>
      <c r="C4" s="13">
        <v>2759.39</v>
      </c>
      <c r="D4" s="13">
        <f t="shared" si="0"/>
        <v>631.00007999999991</v>
      </c>
      <c r="E4" s="13">
        <v>2627.28</v>
      </c>
      <c r="F4" s="13">
        <f t="shared" ref="F4:F6" si="1">E4-B4+C4+D4</f>
        <v>3390.3900799999997</v>
      </c>
      <c r="G4" s="13">
        <f t="shared" ref="G4:G9" si="2">F4-E4-D4</f>
        <v>132.10999999999956</v>
      </c>
      <c r="H4" s="13"/>
      <c r="I4" s="13">
        <f t="shared" ref="I4:I9" si="3">IF(F4&lt;2225,(0.1807-0.0295)*F4,IF(F4&lt;2427,(0.1807-0.0195)*F4,IF(F4&lt;2630,(0.1807-0.0095)*F4,0.1807*F4)))</f>
        <v>612.64348745599989</v>
      </c>
      <c r="J4">
        <f t="shared" ref="J4:J9" si="4">IF(F4-I4&lt;1128.25,0,IF(F4-I4&lt;=1843.67,0.2,IF(F4-I4&lt;=3049.17,0.3,IF(F4-I4&lt;=5874.75,0.4,IF(F4-I4&lt;=8749.25,0.48,IF(F4-I4&lt;=83344.33,0.5,0.55))))))</f>
        <v>0.3</v>
      </c>
      <c r="K4" s="13">
        <f t="shared" ref="K4:K9" si="5">(F4-I4)*J4</f>
        <v>833.32397776319988</v>
      </c>
      <c r="L4" s="13">
        <f>449.8+199.69</f>
        <v>649.49</v>
      </c>
      <c r="M4" s="13">
        <f t="shared" ref="M4:M8" si="6">I4+K4</f>
        <v>1445.9674652191998</v>
      </c>
      <c r="N4" s="22">
        <f t="shared" ref="N4:N10" si="7">M4-L4</f>
        <v>796.47746521919976</v>
      </c>
    </row>
    <row r="5" spans="1:14" x14ac:dyDescent="0.3">
      <c r="A5" t="s">
        <v>21</v>
      </c>
      <c r="B5" s="13">
        <v>2627.28</v>
      </c>
      <c r="C5" s="13">
        <v>2759.39</v>
      </c>
      <c r="D5" s="13">
        <f t="shared" si="0"/>
        <v>631.00007999999991</v>
      </c>
      <c r="E5" s="13">
        <v>2627.28</v>
      </c>
      <c r="F5" s="13">
        <f t="shared" si="1"/>
        <v>3390.3900799999997</v>
      </c>
      <c r="G5" s="13">
        <f t="shared" si="2"/>
        <v>132.10999999999956</v>
      </c>
      <c r="H5" s="13"/>
      <c r="I5" s="13">
        <f t="shared" si="3"/>
        <v>612.64348745599989</v>
      </c>
      <c r="J5">
        <f t="shared" si="4"/>
        <v>0.3</v>
      </c>
      <c r="K5" s="13">
        <f t="shared" si="5"/>
        <v>833.32397776319988</v>
      </c>
      <c r="L5" s="13">
        <f>449.8+199.69</f>
        <v>649.49</v>
      </c>
      <c r="M5" s="13">
        <f t="shared" si="6"/>
        <v>1445.9674652191998</v>
      </c>
      <c r="N5" s="22">
        <f t="shared" si="7"/>
        <v>796.47746521919976</v>
      </c>
    </row>
    <row r="6" spans="1:14" x14ac:dyDescent="0.3">
      <c r="A6" t="s">
        <v>13</v>
      </c>
      <c r="B6" s="13">
        <v>2627.28</v>
      </c>
      <c r="C6" s="13">
        <v>2759.39</v>
      </c>
      <c r="D6" s="13">
        <f>(26291.67*1.2)*0.02</f>
        <v>631.00007999999991</v>
      </c>
      <c r="E6" s="13">
        <v>3203.89</v>
      </c>
      <c r="F6" s="13">
        <f t="shared" si="1"/>
        <v>3967.0000799999993</v>
      </c>
      <c r="G6" s="13">
        <f t="shared" si="2"/>
        <v>132.10999999999956</v>
      </c>
      <c r="H6" s="13"/>
      <c r="I6" s="13">
        <f t="shared" si="3"/>
        <v>716.83691445599993</v>
      </c>
      <c r="J6">
        <f t="shared" si="4"/>
        <v>0.4</v>
      </c>
      <c r="K6" s="13">
        <f t="shared" si="5"/>
        <v>1300.0652662175999</v>
      </c>
      <c r="L6" s="13">
        <f>449.8+252.68</f>
        <v>702.48</v>
      </c>
      <c r="M6" s="13">
        <f t="shared" si="6"/>
        <v>2016.9021806735998</v>
      </c>
      <c r="N6" s="22">
        <f t="shared" si="7"/>
        <v>1314.4221806735998</v>
      </c>
    </row>
    <row r="7" spans="1:14" x14ac:dyDescent="0.3">
      <c r="A7" t="s">
        <v>12</v>
      </c>
      <c r="B7" s="13">
        <v>2627.28</v>
      </c>
      <c r="C7" s="13">
        <v>2759.39</v>
      </c>
      <c r="D7" s="13">
        <f t="shared" ref="D7:D9" si="8">(26291.67*1.2)*0.02</f>
        <v>631.00007999999991</v>
      </c>
      <c r="E7" s="13">
        <v>2627.28</v>
      </c>
      <c r="F7" s="13">
        <f>E7-B7+C7+D7</f>
        <v>3390.3900799999997</v>
      </c>
      <c r="G7" s="13">
        <f t="shared" si="2"/>
        <v>132.10999999999956</v>
      </c>
      <c r="H7" s="13"/>
      <c r="I7" s="13">
        <f t="shared" si="3"/>
        <v>612.64348745599989</v>
      </c>
      <c r="J7">
        <f t="shared" si="4"/>
        <v>0.3</v>
      </c>
      <c r="K7" s="13">
        <f t="shared" si="5"/>
        <v>833.32397776319988</v>
      </c>
      <c r="L7" s="13">
        <f>449.8+199.69</f>
        <v>649.49</v>
      </c>
      <c r="M7" s="13">
        <f t="shared" si="6"/>
        <v>1445.9674652191998</v>
      </c>
      <c r="N7" s="22">
        <f t="shared" si="7"/>
        <v>796.47746521919976</v>
      </c>
    </row>
    <row r="8" spans="1:14" x14ac:dyDescent="0.3">
      <c r="A8" t="s">
        <v>11</v>
      </c>
      <c r="B8" s="13">
        <v>2627.28</v>
      </c>
      <c r="C8" s="13">
        <v>2759.39</v>
      </c>
      <c r="D8" s="13">
        <f t="shared" si="8"/>
        <v>631.00007999999991</v>
      </c>
      <c r="E8" s="13">
        <v>5074.6099999999997</v>
      </c>
      <c r="F8" s="13">
        <f>E8-B8-B8+C8+C8+D8</f>
        <v>5969.8300799999988</v>
      </c>
      <c r="G8" s="13">
        <f t="shared" si="2"/>
        <v>264.21999999999923</v>
      </c>
      <c r="H8" s="13"/>
      <c r="I8" s="13">
        <f t="shared" si="3"/>
        <v>1078.7482954559998</v>
      </c>
      <c r="J8">
        <f t="shared" si="4"/>
        <v>0.4</v>
      </c>
      <c r="K8" s="13">
        <f t="shared" si="5"/>
        <v>1956.4327138175995</v>
      </c>
      <c r="L8" s="13">
        <f>844.31+285.66</f>
        <v>1129.97</v>
      </c>
      <c r="M8" s="13">
        <f t="shared" si="6"/>
        <v>3035.1810092735996</v>
      </c>
      <c r="N8" s="22">
        <f t="shared" si="7"/>
        <v>1905.2110092735995</v>
      </c>
    </row>
    <row r="9" spans="1:14" x14ac:dyDescent="0.3">
      <c r="A9" t="s">
        <v>9</v>
      </c>
      <c r="B9" s="13">
        <v>2627.28</v>
      </c>
      <c r="C9" s="13">
        <v>2760.39</v>
      </c>
      <c r="D9" s="13">
        <f t="shared" si="8"/>
        <v>631.00007999999991</v>
      </c>
      <c r="E9" s="13">
        <v>2570.61</v>
      </c>
      <c r="F9" s="13">
        <f>E9-B9+C9+D9</f>
        <v>3334.7200799999996</v>
      </c>
      <c r="G9" s="13">
        <f t="shared" si="2"/>
        <v>133.10999999999956</v>
      </c>
      <c r="H9" s="13"/>
      <c r="I9" s="13">
        <f t="shared" si="3"/>
        <v>602.58391845599988</v>
      </c>
      <c r="J9">
        <f t="shared" si="4"/>
        <v>0.3</v>
      </c>
      <c r="K9" s="13">
        <f t="shared" si="5"/>
        <v>819.64084846319986</v>
      </c>
      <c r="L9" s="13">
        <f>385.04+127</f>
        <v>512.04</v>
      </c>
      <c r="M9" s="13">
        <f>I9+K9</f>
        <v>1422.2247669191997</v>
      </c>
      <c r="N9" s="22">
        <f t="shared" si="7"/>
        <v>910.18476691919977</v>
      </c>
    </row>
    <row r="10" spans="1:14" x14ac:dyDescent="0.3">
      <c r="A10" s="1" t="s">
        <v>5</v>
      </c>
      <c r="B10" s="12"/>
      <c r="C10" s="12"/>
      <c r="D10" s="1"/>
      <c r="E10" s="1"/>
      <c r="F10" s="1"/>
      <c r="G10" s="12">
        <f>SUM(G3:G9)</f>
        <v>1057.8799999999965</v>
      </c>
      <c r="H10" s="1"/>
      <c r="I10" s="22"/>
      <c r="K10" s="24"/>
      <c r="L10" s="23">
        <f>SUM(L3:L9)</f>
        <v>4701.4400000000005</v>
      </c>
      <c r="M10" s="23">
        <f>SUM(M3:M9)</f>
        <v>11867.952645311198</v>
      </c>
      <c r="N10" s="12">
        <f t="shared" si="7"/>
        <v>7166.512645311197</v>
      </c>
    </row>
    <row r="13" spans="1:14" ht="15.6" x14ac:dyDescent="0.3">
      <c r="B13" s="25" t="s">
        <v>39</v>
      </c>
      <c r="C13" s="26"/>
      <c r="D13" s="27"/>
    </row>
    <row r="14" spans="1:14" x14ac:dyDescent="0.3">
      <c r="B14" s="6"/>
      <c r="D14" s="20"/>
    </row>
    <row r="15" spans="1:14" x14ac:dyDescent="0.3">
      <c r="B15" s="2" t="s">
        <v>34</v>
      </c>
      <c r="C15" s="1" t="s">
        <v>36</v>
      </c>
      <c r="D15" s="5" t="s">
        <v>35</v>
      </c>
    </row>
    <row r="16" spans="1:14" x14ac:dyDescent="0.3">
      <c r="B16" s="3">
        <v>622.5</v>
      </c>
      <c r="C16" s="4">
        <v>0</v>
      </c>
      <c r="D16" s="7">
        <f t="shared" ref="D16:D22" si="9">B16-C16</f>
        <v>622.5</v>
      </c>
    </row>
    <row r="17" spans="2:4" x14ac:dyDescent="0.3">
      <c r="B17" s="3">
        <v>402.5</v>
      </c>
      <c r="C17" s="4">
        <v>0</v>
      </c>
      <c r="D17" s="7">
        <f t="shared" si="9"/>
        <v>402.5</v>
      </c>
    </row>
    <row r="18" spans="2:4" x14ac:dyDescent="0.3">
      <c r="B18" s="3">
        <v>1275</v>
      </c>
      <c r="C18" s="4">
        <v>0</v>
      </c>
      <c r="D18" s="7">
        <f t="shared" si="9"/>
        <v>1275</v>
      </c>
    </row>
    <row r="19" spans="2:4" x14ac:dyDescent="0.3">
      <c r="B19" s="3">
        <v>0</v>
      </c>
      <c r="C19" s="4">
        <v>0</v>
      </c>
      <c r="D19" s="7">
        <f t="shared" si="9"/>
        <v>0</v>
      </c>
    </row>
    <row r="20" spans="2:4" x14ac:dyDescent="0.3">
      <c r="B20" s="3">
        <v>899</v>
      </c>
      <c r="C20" s="4">
        <v>0</v>
      </c>
      <c r="D20" s="7">
        <f t="shared" si="9"/>
        <v>899</v>
      </c>
    </row>
    <row r="21" spans="2:4" x14ac:dyDescent="0.3">
      <c r="B21" s="3">
        <v>0</v>
      </c>
      <c r="C21" s="4">
        <v>0</v>
      </c>
      <c r="D21" s="7">
        <f t="shared" si="9"/>
        <v>0</v>
      </c>
    </row>
    <row r="22" spans="2:4" x14ac:dyDescent="0.3">
      <c r="B22" s="3">
        <v>0</v>
      </c>
      <c r="C22" s="21">
        <v>0</v>
      </c>
      <c r="D22" s="7">
        <f t="shared" si="9"/>
        <v>0</v>
      </c>
    </row>
    <row r="23" spans="2:4" x14ac:dyDescent="0.3">
      <c r="B23" s="17">
        <f>SUM(B16:B22)</f>
        <v>3199</v>
      </c>
      <c r="C23" s="18">
        <f>SUM(C16:C22)</f>
        <v>0</v>
      </c>
      <c r="D23" s="19">
        <f>SUM(D16:D22)</f>
        <v>3199</v>
      </c>
    </row>
  </sheetData>
  <mergeCells count="2">
    <mergeCell ref="A1:I1"/>
    <mergeCell ref="B13:D13"/>
  </mergeCells>
  <phoneticPr fontId="7" type="noConversion"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4</vt:i4>
      </vt:variant>
    </vt:vector>
  </HeadingPairs>
  <TitlesOfParts>
    <vt:vector size="4" baseType="lpstr">
      <vt:lpstr>Endabrechnung</vt:lpstr>
      <vt:lpstr>Vorschüsse</vt:lpstr>
      <vt:lpstr>LG 5 + ÜStd</vt:lpstr>
      <vt:lpstr>Berichtigungen hinfällig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Buchhaltung Wikimont</dc:creator>
  <cp:lastModifiedBy>Buchhaltung Wikimont</cp:lastModifiedBy>
  <cp:lastPrinted>2026-04-14T10:57:54Z</cp:lastPrinted>
  <dcterms:created xsi:type="dcterms:W3CDTF">2026-04-14T09:36:07Z</dcterms:created>
  <dcterms:modified xsi:type="dcterms:W3CDTF">2026-09-16T11:55:09Z</dcterms:modified>
</cp:coreProperties>
</file>