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Desktop/2026-07_Juli/"/>
    </mc:Choice>
  </mc:AlternateContent>
  <xr:revisionPtr revIDLastSave="0" documentId="8_{BBBCE4A2-3655-B445-9C20-089C24659563}" xr6:coauthVersionLast="47" xr6:coauthVersionMax="47" xr10:uidLastSave="{00000000-0000-0000-0000-000000000000}"/>
  <bookViews>
    <workbookView xWindow="6800" yWindow="600" windowWidth="23260" windowHeight="18160" activeTab="6"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5" i="13" l="1"/>
  <c r="O30" i="5"/>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22" i="1"/>
  <c r="G23" i="1"/>
  <c r="G24" i="1"/>
  <c r="G25" i="1"/>
  <c r="G26" i="1"/>
  <c r="G27" i="1"/>
  <c r="G28" i="1"/>
  <c r="G29" i="1"/>
  <c r="G30" i="1"/>
  <c r="G32" i="1"/>
  <c r="G2" i="1"/>
  <c r="G3" i="2"/>
  <c r="G4" i="2"/>
  <c r="G5" i="2"/>
  <c r="G6" i="2"/>
  <c r="G7" i="2"/>
  <c r="G8" i="2"/>
  <c r="G9" i="2"/>
  <c r="G10" i="2"/>
  <c r="G11" i="2"/>
  <c r="G12" i="2"/>
  <c r="G13" i="2"/>
  <c r="G14" i="2"/>
  <c r="G15" i="2"/>
  <c r="G16" i="2"/>
  <c r="G17" i="2"/>
  <c r="G18" i="2"/>
  <c r="G19" i="2"/>
  <c r="G20" i="2"/>
  <c r="G21" i="2"/>
  <c r="G22" i="2"/>
  <c r="G23" i="2"/>
  <c r="G24" i="2"/>
  <c r="G25" i="2"/>
  <c r="G26"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5" i="6"/>
  <c r="I7" i="6"/>
  <c r="I8" i="6"/>
  <c r="I14" i="6"/>
  <c r="I15" i="6"/>
  <c r="I21" i="6"/>
  <c r="I22" i="6"/>
  <c r="I28" i="6"/>
  <c r="I29" i="6"/>
  <c r="I3" i="5"/>
  <c r="I4" i="5"/>
  <c r="I10" i="5"/>
  <c r="I11" i="5"/>
  <c r="I15" i="5"/>
  <c r="I17" i="5"/>
  <c r="I18" i="5"/>
  <c r="I24" i="5"/>
  <c r="I25" i="5"/>
  <c r="I26"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11"/>
  <c r="H12" i="13" s="1"/>
  <c r="N17" i="9"/>
  <c r="H10" i="13" s="1"/>
  <c r="N17" i="8"/>
  <c r="H9" i="13" s="1"/>
  <c r="N17" i="6"/>
  <c r="H7"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9" i="3"/>
  <c r="H11" i="3"/>
  <c r="H7" i="3"/>
  <c r="H2" i="3"/>
  <c r="H8" i="3"/>
  <c r="H3" i="3"/>
  <c r="H4" i="3"/>
  <c r="H6" i="3"/>
  <c r="H10" i="3"/>
  <c r="H28" i="3"/>
  <c r="H29" i="3"/>
  <c r="H15" i="3"/>
  <c r="H18" i="3"/>
  <c r="H16" i="3"/>
  <c r="H25" i="3"/>
  <c r="H23" i="3"/>
  <c r="H22" i="3"/>
  <c r="H14" i="3"/>
  <c r="H31" i="3"/>
  <c r="H24" i="3"/>
  <c r="H13" i="3"/>
  <c r="H17" i="3"/>
  <c r="H21" i="3"/>
  <c r="H27" i="3"/>
  <c r="H20" i="3"/>
  <c r="H32" i="3"/>
  <c r="H30" i="3"/>
  <c r="I31" i="3" l="1"/>
  <c r="I30" i="3"/>
  <c r="I17" i="3"/>
  <c r="I16" i="3"/>
  <c r="I15" i="3"/>
  <c r="I14" i="3"/>
  <c r="I13"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7" i="4"/>
  <c r="H9" i="12"/>
  <c r="H15" i="5"/>
  <c r="H2" i="5"/>
  <c r="H5" i="6"/>
  <c r="H27" i="10"/>
  <c r="H26" i="12"/>
  <c r="H26" i="5"/>
  <c r="H32" i="7"/>
  <c r="H17" i="11"/>
  <c r="H25" i="12"/>
  <c r="H15" i="7"/>
  <c r="H7" i="7"/>
  <c r="H6" i="7"/>
  <c r="H3" i="12"/>
  <c r="H20" i="7"/>
  <c r="H32" i="8"/>
  <c r="H16" i="7"/>
  <c r="H4" i="8"/>
  <c r="H9" i="11"/>
  <c r="H5" i="3"/>
  <c r="H6" i="11"/>
  <c r="H19" i="11"/>
  <c r="H5" i="11"/>
  <c r="H27" i="8"/>
  <c r="H6" i="8"/>
  <c r="H15" i="8"/>
  <c r="H29" i="7"/>
  <c r="H8" i="8"/>
  <c r="H19" i="9"/>
  <c r="H28" i="10"/>
  <c r="H25" i="8"/>
  <c r="H7" i="12"/>
  <c r="H13" i="10"/>
  <c r="H16" i="9"/>
  <c r="H23" i="9"/>
  <c r="H11" i="11"/>
  <c r="H3" i="11"/>
  <c r="H9" i="7"/>
  <c r="H28" i="7"/>
  <c r="H14" i="9"/>
  <c r="H15" i="11"/>
  <c r="H7" i="11"/>
  <c r="H31" i="11"/>
  <c r="H4" i="12"/>
  <c r="H21" i="12"/>
  <c r="H17" i="9"/>
  <c r="H19" i="10"/>
  <c r="H16" i="8"/>
  <c r="H22" i="8"/>
  <c r="H10" i="11"/>
  <c r="H10" i="8"/>
  <c r="H26" i="7"/>
  <c r="H23" i="12"/>
  <c r="H32" i="12"/>
  <c r="H25" i="11"/>
  <c r="H13" i="8"/>
  <c r="H24" i="8"/>
  <c r="H31" i="12"/>
  <c r="H28" i="12"/>
  <c r="H8" i="7"/>
  <c r="H30" i="9"/>
  <c r="H14" i="8"/>
  <c r="H24" i="10"/>
  <c r="H17" i="10"/>
  <c r="H15" i="12"/>
  <c r="H2" i="12"/>
  <c r="H27" i="11"/>
  <c r="H18" i="10"/>
  <c r="H28" i="8"/>
  <c r="H20" i="10"/>
  <c r="H5" i="10"/>
  <c r="H23" i="8"/>
  <c r="H7" i="9"/>
  <c r="H23" i="10"/>
  <c r="H16" i="12"/>
  <c r="H14" i="12"/>
  <c r="H6" i="9"/>
  <c r="H29" i="8"/>
  <c r="H26" i="11"/>
  <c r="H11" i="10"/>
  <c r="H2" i="9"/>
  <c r="H10" i="7"/>
  <c r="H32" i="10"/>
  <c r="H17" i="7"/>
  <c r="H11" i="7"/>
  <c r="H16" i="11"/>
  <c r="H27" i="9"/>
  <c r="H24" i="9"/>
  <c r="H24" i="11"/>
  <c r="H6" i="12"/>
  <c r="H20" i="9"/>
  <c r="H12" i="8"/>
  <c r="H25" i="10"/>
  <c r="H21" i="8"/>
  <c r="H4" i="11"/>
  <c r="H18" i="12"/>
  <c r="H18" i="9"/>
  <c r="H31" i="9"/>
  <c r="H30" i="7"/>
  <c r="H22" i="7"/>
  <c r="H19" i="12"/>
  <c r="H27" i="7"/>
  <c r="H24" i="7"/>
  <c r="H14" i="11"/>
  <c r="H15" i="10"/>
  <c r="H16" i="10"/>
  <c r="H10" i="12"/>
  <c r="H31" i="8"/>
  <c r="H29" i="11"/>
  <c r="H21" i="9"/>
  <c r="H11" i="9"/>
  <c r="H26" i="9"/>
  <c r="H5" i="7"/>
  <c r="H9" i="10"/>
  <c r="H29" i="9"/>
  <c r="H4" i="10"/>
  <c r="H5" i="12"/>
  <c r="H31" i="7"/>
  <c r="H30" i="8"/>
  <c r="H17" i="8"/>
  <c r="H21" i="10"/>
  <c r="H13" i="9"/>
  <c r="H5" i="8"/>
  <c r="H8" i="10"/>
  <c r="H17" i="12"/>
  <c r="H12" i="7"/>
  <c r="H30" i="10"/>
  <c r="H18" i="7"/>
  <c r="H13" i="7"/>
  <c r="H12" i="10"/>
  <c r="H22" i="11"/>
  <c r="H26" i="8"/>
  <c r="H6" i="10"/>
  <c r="H25" i="7"/>
  <c r="H3" i="8"/>
  <c r="H29" i="10"/>
  <c r="H15" i="9"/>
  <c r="H26" i="10"/>
  <c r="H22" i="9"/>
  <c r="H8" i="12"/>
  <c r="H21" i="11"/>
  <c r="H18" i="11"/>
  <c r="H12" i="11"/>
  <c r="H24" i="12"/>
  <c r="H30" i="11"/>
  <c r="H3" i="9"/>
  <c r="H31" i="10"/>
  <c r="H19" i="7"/>
  <c r="H5" i="9"/>
  <c r="H9" i="8"/>
  <c r="H20" i="12"/>
  <c r="H13" i="12"/>
  <c r="H4" i="9"/>
  <c r="H12" i="12"/>
  <c r="H22" i="12"/>
  <c r="H28" i="11"/>
  <c r="H9" i="9"/>
  <c r="H8" i="9"/>
  <c r="H25" i="9"/>
  <c r="H7" i="10"/>
  <c r="H13" i="11"/>
  <c r="H11" i="12"/>
  <c r="H7" i="8"/>
  <c r="H20" i="11"/>
  <c r="H2" i="8"/>
  <c r="H14" i="7"/>
  <c r="H2" i="10"/>
  <c r="H10" i="9"/>
  <c r="H3" i="10"/>
  <c r="H30" i="12"/>
  <c r="H21" i="7"/>
  <c r="H12" i="9"/>
  <c r="H10" i="10"/>
  <c r="H2" i="11"/>
  <c r="H12" i="3"/>
  <c r="H11" i="8"/>
  <c r="H23" i="7"/>
  <c r="H22" i="10"/>
  <c r="H8" i="11"/>
  <c r="H20" i="8"/>
  <c r="H23" i="11"/>
  <c r="H27" i="12"/>
  <c r="H28" i="9"/>
  <c r="H29" i="12"/>
  <c r="H14" i="10"/>
  <c r="H19" i="8"/>
  <c r="H18" i="8"/>
  <c r="H20" i="4"/>
  <c r="H10" i="4"/>
  <c r="H21" i="4"/>
  <c r="H4" i="5"/>
  <c r="H3" i="2"/>
  <c r="H20" i="2"/>
  <c r="H24" i="4"/>
  <c r="H11" i="6"/>
  <c r="H7" i="2"/>
  <c r="H29" i="4"/>
  <c r="H5" i="1"/>
  <c r="H16" i="1"/>
  <c r="H26" i="2"/>
  <c r="H8" i="2"/>
  <c r="H3" i="1"/>
  <c r="H23" i="4"/>
  <c r="H4" i="1"/>
  <c r="H9" i="6"/>
  <c r="H11" i="4"/>
  <c r="H10" i="2"/>
  <c r="H10" i="5"/>
  <c r="H30" i="1"/>
  <c r="H23" i="6"/>
  <c r="H6" i="1"/>
  <c r="H7" i="5"/>
  <c r="H26" i="1"/>
  <c r="H3" i="4"/>
  <c r="H8" i="5"/>
  <c r="H5" i="2"/>
  <c r="H8" i="6"/>
  <c r="H12" i="1"/>
  <c r="H19" i="1"/>
  <c r="H12" i="2"/>
  <c r="H5" i="5"/>
  <c r="H13" i="5"/>
  <c r="H16" i="5"/>
  <c r="H20" i="1"/>
  <c r="H9" i="1"/>
  <c r="H18" i="4"/>
  <c r="H14" i="5"/>
  <c r="H28" i="5"/>
  <c r="H26" i="6"/>
  <c r="H13" i="6"/>
  <c r="H18" i="5"/>
  <c r="H19" i="5"/>
  <c r="H11" i="1"/>
  <c r="H27" i="2"/>
  <c r="H17" i="6"/>
  <c r="H19" i="4"/>
  <c r="H2" i="6"/>
  <c r="H22" i="1"/>
  <c r="H25" i="4"/>
  <c r="H4" i="7"/>
  <c r="H12" i="5"/>
  <c r="H25" i="6"/>
  <c r="H6" i="6"/>
  <c r="H4" i="2"/>
  <c r="H22" i="5"/>
  <c r="H9" i="4"/>
  <c r="H27" i="6"/>
  <c r="H6" i="2"/>
  <c r="H14" i="6"/>
  <c r="H28" i="1"/>
  <c r="H3" i="6"/>
  <c r="H25" i="2"/>
  <c r="H31" i="1"/>
  <c r="H27" i="1"/>
  <c r="H12" i="6"/>
  <c r="H24" i="6"/>
  <c r="H7" i="1"/>
  <c r="H13" i="1"/>
  <c r="H16" i="4"/>
  <c r="H2" i="7"/>
  <c r="H10" i="6"/>
  <c r="H27" i="4"/>
  <c r="H23" i="2"/>
  <c r="H25" i="1"/>
  <c r="H16" i="2"/>
  <c r="H20" i="6"/>
  <c r="H10" i="1"/>
  <c r="H3" i="5"/>
  <c r="H14" i="2"/>
  <c r="H14" i="4"/>
  <c r="H21" i="5"/>
  <c r="H13" i="4"/>
  <c r="H22" i="4"/>
  <c r="H26" i="4"/>
  <c r="H17" i="2"/>
  <c r="H18" i="2"/>
  <c r="H11" i="5"/>
  <c r="H9" i="5"/>
  <c r="H31" i="6"/>
  <c r="H15" i="1"/>
  <c r="H24" i="1"/>
  <c r="H12" i="4"/>
  <c r="H2" i="1"/>
  <c r="H15" i="4"/>
  <c r="H8" i="4"/>
  <c r="H6" i="5"/>
  <c r="H22" i="2"/>
  <c r="H27" i="5"/>
  <c r="H29" i="1"/>
  <c r="H31" i="4"/>
  <c r="H28" i="6"/>
  <c r="H17" i="1"/>
  <c r="H16" i="6"/>
  <c r="H4" i="6"/>
  <c r="H26" i="3"/>
  <c r="H30" i="6"/>
  <c r="H24" i="5"/>
  <c r="H15" i="6"/>
  <c r="H7" i="6"/>
  <c r="H20" i="5"/>
  <c r="H8" i="1"/>
  <c r="H32" i="5"/>
  <c r="H17" i="5"/>
  <c r="H17" i="4"/>
  <c r="H21" i="2"/>
  <c r="H18" i="1"/>
  <c r="H5" i="4"/>
  <c r="H9" i="2"/>
  <c r="H32" i="1"/>
  <c r="H19" i="6"/>
  <c r="H29" i="2"/>
  <c r="H13" i="2"/>
  <c r="H19" i="3"/>
  <c r="H28" i="2"/>
  <c r="H4" i="4"/>
  <c r="H6" i="4"/>
  <c r="H29" i="6"/>
  <c r="H24" i="2"/>
  <c r="H19" i="2"/>
  <c r="H29" i="5"/>
  <c r="H25" i="5"/>
  <c r="H21" i="1"/>
  <c r="H3" i="7"/>
  <c r="H22" i="6"/>
  <c r="H2" i="4"/>
  <c r="H11" i="2"/>
  <c r="H23" i="5"/>
  <c r="H31" i="5"/>
  <c r="H23" i="1"/>
  <c r="H2" i="2"/>
  <c r="H14" i="1"/>
  <c r="H18" i="6"/>
  <c r="H30" i="4"/>
  <c r="H28" i="4"/>
  <c r="H21" i="6"/>
  <c r="H30" i="5"/>
  <c r="H15" i="2"/>
  <c r="G16" i="5" l="1"/>
  <c r="N17" i="5" s="1"/>
  <c r="H6" i="13" s="1"/>
  <c r="G14" i="4"/>
  <c r="N17" i="4" s="1"/>
  <c r="H5" i="13" s="1"/>
  <c r="G28" i="2"/>
  <c r="G27" i="2"/>
  <c r="G31" i="1"/>
  <c r="G21" i="1"/>
  <c r="G20" i="1"/>
  <c r="G19" i="1"/>
  <c r="G18" i="1"/>
  <c r="G17" i="1"/>
  <c r="G4" i="7"/>
  <c r="G3" i="7"/>
  <c r="G2" i="7"/>
  <c r="I4" i="7"/>
  <c r="I2" i="7"/>
  <c r="I3" i="7"/>
  <c r="I6" i="6"/>
  <c r="I4" i="6"/>
  <c r="I2" i="6"/>
  <c r="I3" i="6"/>
  <c r="I30" i="6"/>
  <c r="I31" i="6"/>
  <c r="I24" i="6"/>
  <c r="I26" i="6"/>
  <c r="I23" i="6"/>
  <c r="I27" i="6"/>
  <c r="I25" i="6"/>
  <c r="I19" i="6"/>
  <c r="I20" i="6"/>
  <c r="I17" i="6"/>
  <c r="I16" i="6"/>
  <c r="I18" i="6"/>
  <c r="I12" i="6"/>
  <c r="I13" i="6"/>
  <c r="I10" i="6"/>
  <c r="I11" i="6"/>
  <c r="I9" i="6"/>
  <c r="I16" i="5"/>
  <c r="I13" i="5"/>
  <c r="I12" i="5"/>
  <c r="I14" i="5"/>
  <c r="I29" i="5"/>
  <c r="I27" i="5"/>
  <c r="I30" i="5"/>
  <c r="I28" i="5"/>
  <c r="I20" i="5"/>
  <c r="I19" i="5"/>
  <c r="I21" i="5"/>
  <c r="I23" i="5"/>
  <c r="I22" i="5"/>
  <c r="I9" i="5"/>
  <c r="I7" i="5"/>
  <c r="I8" i="5"/>
  <c r="I6" i="5"/>
  <c r="I5" i="5"/>
  <c r="I4" i="4"/>
  <c r="I2" i="4"/>
  <c r="I3" i="4"/>
  <c r="I31" i="4"/>
  <c r="I28" i="4"/>
  <c r="I30" i="4"/>
  <c r="I29" i="4"/>
  <c r="I23" i="4"/>
  <c r="I21" i="4"/>
  <c r="I22" i="4"/>
  <c r="I24" i="4"/>
  <c r="I25" i="4"/>
  <c r="I16" i="4"/>
  <c r="I15" i="4"/>
  <c r="I18" i="4"/>
  <c r="I14" i="4"/>
  <c r="I17" i="4"/>
  <c r="I9" i="4"/>
  <c r="I11" i="4"/>
  <c r="I10" i="4"/>
  <c r="I8" i="4"/>
  <c r="I7" i="4"/>
  <c r="I31" i="1"/>
  <c r="I32" i="1"/>
  <c r="I28" i="1"/>
  <c r="I24" i="1"/>
  <c r="I26" i="1"/>
  <c r="I27" i="1"/>
  <c r="I25" i="1"/>
  <c r="I21" i="1"/>
  <c r="I20" i="1"/>
  <c r="I19" i="1"/>
  <c r="I18" i="1"/>
  <c r="I17" i="1"/>
  <c r="I13" i="1"/>
  <c r="I14" i="1"/>
  <c r="I11" i="1"/>
  <c r="I10" i="1"/>
  <c r="I12" i="1"/>
  <c r="I6" i="1"/>
  <c r="I4" i="1"/>
  <c r="I5" i="1"/>
  <c r="I7" i="1"/>
  <c r="I3" i="1"/>
  <c r="I27" i="2"/>
  <c r="I25" i="2"/>
  <c r="I26" i="2"/>
  <c r="I28" i="2"/>
  <c r="I24" i="2"/>
  <c r="I17" i="2"/>
  <c r="I20" i="2"/>
  <c r="I21" i="2"/>
  <c r="I19" i="2"/>
  <c r="I18" i="2"/>
  <c r="I11" i="2"/>
  <c r="I14" i="2"/>
  <c r="I10" i="2"/>
  <c r="I13" i="2"/>
  <c r="I12" i="2"/>
  <c r="I7" i="2"/>
  <c r="I4" i="2"/>
  <c r="I3" i="2"/>
  <c r="I5" i="2"/>
  <c r="I6"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N17" i="2" l="1"/>
  <c r="H3" i="13" s="1"/>
  <c r="N17" i="1"/>
  <c r="H4" i="13" s="1"/>
  <c r="N17" i="7"/>
  <c r="H8" i="13" s="1"/>
  <c r="I32" i="3"/>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<sst xmlns="http://schemas.openxmlformats.org/spreadsheetml/2006/main" count="613" uniqueCount="85">
  <si>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</si>
  <si>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</si>
  <si>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</si>
  <si>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</si>
  <si>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</si>
  <si>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</si>
  <si>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</si>
  <si>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</si>
  <si>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</si>
  <si>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</si>
  <si>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</si>
  <si>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</si>
  <si>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</si>
  <si>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</si>
  <si>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</si>
  <si>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</si>
  <si>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</si>
  <si>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</si>
  <si>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</si>
  <si>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</si>
  <si>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</si>
  <si>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</si>
  <si>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</si>
  <si>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</si>
  <si>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</si>
  <si>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</si>
  <si>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</si>
  <si>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</si>
  <si>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</si>
  <si>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</si>
  <si>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</si>
  <si>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</si>
  <si>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</si>
  <si>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</si>
  <si>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</si>
  <si>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</si>
  <si>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</si>
  <si>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</si>
  <si>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</si>
  <si>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</si>
  <si>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</si>
  <si>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</si>
  <si>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</si>
  <si>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</si>
  <si>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</si>
  <si>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</si>
  <si>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</si>
  <si>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</si>
  <si>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</si>
  <si>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</si>
  <si>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</si>
  <si>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</si>
  <si>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</si>
  <si>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</si>
  <si>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</si>
  <si>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</si>
  <si>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</si>
  <si>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</si>
  <si>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</si>
  <si>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</si>
  <si>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</si>
  <si>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</si>
  <si>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</si>
  <si>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</si>
  <si>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</si>
  <si>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</si>
  <si>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</si>
  <si>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</si>
  <si>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</si>
  <si>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</si>
  <si>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</si>
  <si>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</si>
  <si>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</si>
  <si>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Vorschuß € 2020,00</t>
  </si>
  <si>
    <t>Vorschuß € 1785,00</t>
  </si>
  <si>
    <t>Vorschuss € 3520,00</t>
  </si>
  <si>
    <t>Vorschuß € 3010,00</t>
  </si>
  <si>
    <t>Mario MARGAN</t>
  </si>
  <si>
    <t>Fuschl am See</t>
  </si>
  <si>
    <t>Vorschuß € 1520,00</t>
  </si>
  <si>
    <t>Stand 31.05.:</t>
  </si>
  <si>
    <t>Baugeld € 1500,00</t>
  </si>
  <si>
    <t>Abzug</t>
  </si>
  <si>
    <t>Kranschein € 210,00</t>
  </si>
  <si>
    <t>Baugeld € 200,00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</si>
</sst>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9">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0" fillId="9" borderId="0" xfId="0" applyFill="1" applyProtection="1">
      <protection locked="0"/>
    </xf>
    <xf numFmtId="0" fontId="3" fillId="9" borderId="0" xfId="0" applyFont="1" applyFill="1" applyProtection="1">
      <protection locked="0"/>
    </xf>
    <xf numFmtId="164" fontId="0" fillId="0" borderId="1" xfId="2" applyFont="1" applyBorder="1" applyProtection="1">
      <protection locked="0"/>
    </xf>
    <xf numFmtId="0" fontId="9" fillId="2" borderId="0" xfId="0"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46">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13" zoomScaleNormal="100" workbookViewId="0">
      <selection activeCell="L37" sqref="L37"/>
    </sheetView>
  </sheetViews>
  <sheetFormatPr baseColWidth="10" defaultColWidth="11.5" defaultRowHeight="15" x14ac:dyDescent="0.2"/>
  <cols>
    <col min="1" max="1" width="6.83203125" style="2" bestFit="1" customWidth="1"/>
    <col min="2" max="2" width="4" style="2" bestFit="1" customWidth="1"/>
    <col min="3" max="3" width="21.5" style="2" bestFit="1" customWidth="1"/>
    <col min="4" max="4" width="9.5" style="24" bestFit="1" customWidth="1"/>
    <col min="5" max="5" width="7" style="24" bestFit="1" customWidth="1"/>
    <col min="6" max="6" width="6.5" style="24" bestFit="1" customWidth="1"/>
    <col min="7" max="7" width="10.5" style="7" bestFit="1" customWidth="1"/>
    <col min="8" max="8" width="11.5" style="2" bestFit="1" customWidth="1"/>
    <col min="9" max="9" width="12.5" style="2" bestFit="1" customWidth="1"/>
    <col min="10" max="10" width="16.5" style="2" bestFit="1" customWidth="1"/>
    <col min="11" max="11" width="11.5" style="2"/>
    <col min="12" max="12" width="11.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Mario MARGAN</v>
      </c>
      <c r="N3" s="46"/>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-2.1316282072803006E-14</v>
      </c>
      <c r="O5" s="35"/>
      <c r="Q5" s="7"/>
    </row>
    <row r="6" spans="1:21" x14ac:dyDescent="0.2">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
      <c r="A7" s="29">
        <v>46028</v>
      </c>
      <c r="B7" t="str">
        <f t="shared" si="0"/>
        <v>Di</v>
      </c>
      <c r="G7" s="27">
        <f t="shared" si="1"/>
        <v>0</v>
      </c>
      <c r="H7" s="27">
        <f ca="1">IF(Q7&lt;&gt;"",Q7,IF(OR(C7="Feiertag",A7&lt;Gesamt!$B$11,A7&gt;Gesamt!$B$13,),0,INDIRECT("N"&amp;WEEKDAY(A7,2)+19)))</f>
        <v>0</v>
      </c>
      <c r="I7" s="27">
        <f t="shared" si="2"/>
        <v>0</v>
      </c>
      <c r="J7" s="7"/>
      <c r="K7" s="39"/>
      <c r="L7" s="39"/>
      <c r="M7" s="1" t="s">
        <v>59</v>
      </c>
      <c r="N7" s="27">
        <f ca="1">Gesamt!B9+Gesamt!E2-Gesamt!J2</f>
        <v>-2.1316282072803006E-14</v>
      </c>
      <c r="O7" s="35"/>
      <c r="Q7" s="7"/>
    </row>
    <row r="8" spans="1:21" x14ac:dyDescent="0.2">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22</v>
      </c>
      <c r="M13" s="1" t="s">
        <v>26</v>
      </c>
      <c r="N13">
        <f>COUNTIF(C2:C32, "Urlaub")+COUNTIF(C2:C32,"Urlaub halber Tag")/2</f>
        <v>0</v>
      </c>
      <c r="O13" s="35"/>
      <c r="Q13" s="7"/>
    </row>
    <row r="14" spans="1:21" x14ac:dyDescent="0.2">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v>22</v>
      </c>
      <c r="O14" s="35"/>
      <c r="Q14" s="7"/>
    </row>
    <row r="15" spans="1:21" x14ac:dyDescent="0.2">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30</v>
      </c>
      <c r="L15" s="39">
        <v>22</v>
      </c>
      <c r="M15" s="1" t="s">
        <v>58</v>
      </c>
      <c r="N15">
        <f>Gesamt!B5+Gesamt!B7-Gesamt!G2</f>
        <v>12.01923076923077</v>
      </c>
      <c r="O15" s="35"/>
      <c r="Q15" s="7"/>
    </row>
    <row r="16" spans="1:21" x14ac:dyDescent="0.2">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v>22</v>
      </c>
      <c r="M16" s="2"/>
      <c r="O16" s="35"/>
      <c r="Q16" s="7"/>
    </row>
    <row r="17" spans="1:17" x14ac:dyDescent="0.2">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72</v>
      </c>
      <c r="K17" s="39">
        <v>30</v>
      </c>
      <c r="L17" s="39">
        <v>22</v>
      </c>
      <c r="M17" s="1" t="s">
        <v>50</v>
      </c>
      <c r="N17" s="27">
        <f>SUM(G2:G32)</f>
        <v>115.49999999999999</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t="s">
        <v>72</v>
      </c>
      <c r="K18" s="39">
        <v>30</v>
      </c>
      <c r="L18" s="39">
        <v>22</v>
      </c>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t="s">
        <v>72</v>
      </c>
      <c r="K19" s="39">
        <v>30</v>
      </c>
      <c r="L19" s="39">
        <v>22</v>
      </c>
      <c r="M19" s="13" t="s">
        <v>6</v>
      </c>
      <c r="O19" s="35"/>
      <c r="Q19" s="7"/>
    </row>
    <row r="20" spans="1:17" x14ac:dyDescent="0.2">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22</v>
      </c>
      <c r="M20" s="6" t="s">
        <v>43</v>
      </c>
      <c r="N20" s="7">
        <f>Gesamt!C30</f>
        <v>8</v>
      </c>
      <c r="O20" s="35"/>
      <c r="Q20" s="7"/>
    </row>
    <row r="21" spans="1:17" x14ac:dyDescent="0.2">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v>22</v>
      </c>
      <c r="M21" s="6" t="s">
        <v>44</v>
      </c>
      <c r="N21" s="7">
        <f>Gesamt!C31</f>
        <v>8</v>
      </c>
      <c r="O21" s="35"/>
      <c r="Q21" s="7"/>
    </row>
    <row r="22" spans="1:17" x14ac:dyDescent="0.2">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v>22</v>
      </c>
      <c r="M22" s="6" t="s">
        <v>45</v>
      </c>
      <c r="N22" s="7">
        <f>Gesamt!C32</f>
        <v>8</v>
      </c>
      <c r="O22" s="35"/>
      <c r="Q22" s="7"/>
    </row>
    <row r="23" spans="1:17" x14ac:dyDescent="0.2">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v>22</v>
      </c>
      <c r="M23" s="6" t="s">
        <v>46</v>
      </c>
      <c r="N23" s="7">
        <f>Gesamt!C33</f>
        <v>8</v>
      </c>
      <c r="O23" s="35"/>
      <c r="Q23" s="7"/>
    </row>
    <row r="24" spans="1:17" x14ac:dyDescent="0.2">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72</v>
      </c>
      <c r="K24" s="39">
        <v>30</v>
      </c>
      <c r="L24" s="39">
        <v>22</v>
      </c>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t="s">
        <v>72</v>
      </c>
      <c r="K25" s="39">
        <v>30</v>
      </c>
      <c r="L25" s="39">
        <v>22</v>
      </c>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72</v>
      </c>
      <c r="K26" s="39">
        <v>30</v>
      </c>
      <c r="L26" s="39">
        <v>22</v>
      </c>
      <c r="M26" s="6" t="s">
        <v>49</v>
      </c>
      <c r="N26" s="7">
        <f>Gesamt!C36</f>
        <v>0</v>
      </c>
      <c r="O26" s="35"/>
      <c r="Q26" s="7"/>
    </row>
    <row r="27" spans="1:17" x14ac:dyDescent="0.2">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22</v>
      </c>
      <c r="M27" s="13" t="s">
        <v>54</v>
      </c>
      <c r="N27" s="27">
        <f>SUM(N20:N26)</f>
        <v>38.5</v>
      </c>
      <c r="O27" s="35"/>
      <c r="Q27" s="7"/>
    </row>
    <row r="28" spans="1:17" x14ac:dyDescent="0.2">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v>22</v>
      </c>
      <c r="O28" s="35"/>
      <c r="Q28" s="7"/>
    </row>
    <row r="29" spans="1:17" x14ac:dyDescent="0.2">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72</v>
      </c>
      <c r="K29" s="39">
        <v>30</v>
      </c>
      <c r="L29" s="39">
        <v>22</v>
      </c>
      <c r="O29" s="35"/>
      <c r="Q29" s="7"/>
    </row>
    <row r="30" spans="1:17" x14ac:dyDescent="0.2">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22</v>
      </c>
      <c r="O30" s="35"/>
      <c r="Q30" s="7"/>
    </row>
    <row r="31" spans="1:17" x14ac:dyDescent="0.2">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72</v>
      </c>
      <c r="K31" s="39">
        <v>30</v>
      </c>
      <c r="L31" s="39">
        <v>22</v>
      </c>
      <c r="M31" s="41" t="s">
        <v>73</v>
      </c>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t="s">
        <v>72</v>
      </c>
      <c r="K32" s="39">
        <v>30</v>
      </c>
      <c r="L32" s="39">
        <v>22</v>
      </c>
      <c r="O32" s="35"/>
      <c r="Q32" s="7"/>
    </row>
    <row r="33" spans="10:12" x14ac:dyDescent="0.2">
      <c r="K33" s="39"/>
      <c r="L33" s="39"/>
    </row>
    <row r="34" spans="10:12" x14ac:dyDescent="0.2">
      <c r="J34" s="2" t="s">
        <v>68</v>
      </c>
      <c r="K34" s="39">
        <f>SUM(K2:K33)</f>
        <v>600</v>
      </c>
      <c r="L34" s="39">
        <f>SUM(L2:L33)</f>
        <v>440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45" priority="1">
      <formula>$C2="Feiertag"</formula>
    </cfRule>
    <cfRule type="expression" dxfId="44"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9" zoomScaleNormal="100" workbookViewId="0">
      <selection activeCell="G33" sqref="G33"/>
    </sheetView>
  </sheetViews>
  <sheetFormatPr baseColWidth="10" defaultColWidth="11.5" defaultRowHeight="15" x14ac:dyDescent="0.2"/>
  <cols>
    <col min="1" max="1" width="7.5" style="2" bestFit="1" customWidth="1"/>
    <col min="2" max="2" width="4" style="2" bestFit="1" customWidth="1"/>
    <col min="3" max="3" width="21.5" style="2" bestFit="1" customWidth="1"/>
    <col min="4" max="4" width="9.5" style="24" bestFit="1" customWidth="1"/>
    <col min="5" max="5" width="7" style="24" bestFit="1" customWidth="1"/>
    <col min="6" max="6" width="6.5" style="24" bestFit="1" customWidth="1"/>
    <col min="7" max="7" width="10.5" style="7" bestFit="1" customWidth="1"/>
    <col min="8" max="8" width="11.5" style="2" bestFit="1" customWidth="1"/>
    <col min="9" max="9" width="12.5" style="2" bestFit="1" customWidth="1"/>
    <col min="10" max="10" width="16.5" style="2" customWidth="1"/>
    <col min="11" max="11" width="11.5" style="2"/>
    <col min="12" max="12" width="11.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30</v>
      </c>
      <c r="L2" s="39"/>
      <c r="M2" s="25"/>
      <c r="O2" s="35"/>
      <c r="Q2" s="7"/>
    </row>
    <row r="3" spans="1:17" x14ac:dyDescent="0.2">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72</v>
      </c>
      <c r="K3" s="39">
        <v>30</v>
      </c>
      <c r="L3" s="39"/>
      <c r="M3" s="46" t="str">
        <f>Gesamt!A3</f>
        <v>Mario MARGAN</v>
      </c>
      <c r="N3" s="46"/>
      <c r="O3" s="35"/>
      <c r="Q3" s="7"/>
    </row>
    <row r="4" spans="1:17" x14ac:dyDescent="0.2">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c r="O4" s="35"/>
      <c r="Q4" s="7"/>
    </row>
    <row r="5" spans="1:17" x14ac:dyDescent="0.2">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c r="M5" s="1" t="s">
        <v>8</v>
      </c>
      <c r="N5" s="27">
        <f ca="1">SUM(I2:I32)</f>
        <v>-2.6645352591003757E-14</v>
      </c>
      <c r="O5" s="35"/>
      <c r="Q5" s="7"/>
    </row>
    <row r="6" spans="1:17" x14ac:dyDescent="0.2">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c r="M6" s="25"/>
      <c r="O6" s="35"/>
      <c r="Q6" s="7"/>
    </row>
    <row r="7" spans="1:17" x14ac:dyDescent="0.2">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72</v>
      </c>
      <c r="K7" s="39">
        <v>30</v>
      </c>
      <c r="L7" s="39"/>
      <c r="M7" s="1" t="s">
        <v>59</v>
      </c>
      <c r="N7" s="27">
        <f ca="1">Gesamt!B9+SUM(Gesamt!E2:E3)-SUM(Gesamt!J2:J3)</f>
        <v>-4.7961634663806763E-14</v>
      </c>
      <c r="O7" s="35"/>
      <c r="Q7" s="7"/>
    </row>
    <row r="8" spans="1:17" x14ac:dyDescent="0.2">
      <c r="A8" s="29">
        <v>46060</v>
      </c>
      <c r="B8" t="str">
        <f t="shared" si="0"/>
        <v>Sa</v>
      </c>
      <c r="G8" s="27">
        <f t="shared" si="1"/>
        <v>0</v>
      </c>
      <c r="H8" s="27">
        <f ca="1">IF(Q8&lt;&gt;"",Q8,IF(OR(C8="Feiertag",A8&lt;Gesamt!$B$11,A8&gt;Gesamt!$B$13,),0,INDIRECT("N"&amp;WEEKDAY(A8,2)+19)))</f>
        <v>0</v>
      </c>
      <c r="I8" s="27">
        <f t="shared" si="2"/>
        <v>0</v>
      </c>
      <c r="J8" s="7" t="s">
        <v>72</v>
      </c>
      <c r="K8" s="39">
        <v>30</v>
      </c>
      <c r="L8" s="39"/>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t="s">
        <v>72</v>
      </c>
      <c r="K9" s="39">
        <v>30</v>
      </c>
      <c r="L9" s="39"/>
      <c r="M9" s="1" t="s">
        <v>25</v>
      </c>
      <c r="N9">
        <f>COUNTIF(C2:C32,"krank")</f>
        <v>0</v>
      </c>
      <c r="O9" s="35"/>
      <c r="Q9" s="7"/>
    </row>
    <row r="10" spans="1:17" x14ac:dyDescent="0.2">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c r="M10" s="25"/>
      <c r="O10" s="35"/>
      <c r="Q10" s="7"/>
    </row>
    <row r="11" spans="1:17" x14ac:dyDescent="0.2">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c r="M11" s="1" t="s">
        <v>57</v>
      </c>
      <c r="N11" s="28">
        <f>SUM(Gesamt!F2:F3)</f>
        <v>0</v>
      </c>
      <c r="O11" s="35"/>
      <c r="Q11" s="7"/>
    </row>
    <row r="12" spans="1:17" x14ac:dyDescent="0.2">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c r="M12" s="25"/>
      <c r="O12" s="35"/>
      <c r="Q12" s="7"/>
    </row>
    <row r="13" spans="1:17" x14ac:dyDescent="0.2">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c r="M13" s="1" t="s">
        <v>26</v>
      </c>
      <c r="N13">
        <f>COUNTIF(C2:C32, "Urlaub")+COUNTIF(C2:C32,"Urlaub halber Tag")/2</f>
        <v>2</v>
      </c>
      <c r="O13" s="35"/>
      <c r="Q13" s="7"/>
    </row>
    <row r="14" spans="1:17" x14ac:dyDescent="0.2">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v>30</v>
      </c>
      <c r="L14" s="39"/>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t="s">
        <v>72</v>
      </c>
      <c r="K15" s="39">
        <v>30</v>
      </c>
      <c r="L15" s="39"/>
      <c r="M15" s="1" t="s">
        <v>58</v>
      </c>
      <c r="N15">
        <f>Gesamt!B5+Gesamt!B7-SUM(Gesamt!G2:G3)</f>
        <v>10.01923076923077</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t="s">
        <v>72</v>
      </c>
      <c r="K16" s="39">
        <v>30</v>
      </c>
      <c r="L16" s="39"/>
      <c r="O16" s="35"/>
      <c r="Q16" s="7"/>
    </row>
    <row r="17" spans="1:17" x14ac:dyDescent="0.2">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c r="M17" s="1" t="s">
        <v>50</v>
      </c>
      <c r="N17" s="27">
        <f ca="1">SUM(G2:G32)</f>
        <v>153.99999999999997</v>
      </c>
      <c r="O17" s="35"/>
      <c r="Q17" s="7"/>
    </row>
    <row r="18" spans="1:17" x14ac:dyDescent="0.2">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c r="O18" s="35"/>
      <c r="Q18" s="7"/>
    </row>
    <row r="19" spans="1:17" x14ac:dyDescent="0.2">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c r="M19" s="13" t="s">
        <v>6</v>
      </c>
      <c r="O19" s="35"/>
      <c r="Q19" s="7"/>
    </row>
    <row r="20" spans="1:17" x14ac:dyDescent="0.2">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c r="M20" s="6" t="s">
        <v>43</v>
      </c>
      <c r="N20" s="7">
        <f>Gesamt!C30</f>
        <v>8</v>
      </c>
      <c r="O20" s="35"/>
      <c r="Q20" s="7"/>
    </row>
    <row r="21" spans="1:17" x14ac:dyDescent="0.2">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v>30</v>
      </c>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t="s">
        <v>72</v>
      </c>
      <c r="K22" s="39">
        <v>30</v>
      </c>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t="s">
        <v>72</v>
      </c>
      <c r="K23" s="39">
        <v>30</v>
      </c>
      <c r="L23" s="39"/>
      <c r="M23" s="6" t="s">
        <v>46</v>
      </c>
      <c r="N23" s="7">
        <f>Gesamt!C33</f>
        <v>8</v>
      </c>
      <c r="O23" s="35"/>
      <c r="Q23" s="7"/>
    </row>
    <row r="24" spans="1:17" x14ac:dyDescent="0.2">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c r="M24" s="6" t="s">
        <v>47</v>
      </c>
      <c r="N24" s="7">
        <f>Gesamt!C34</f>
        <v>6.5</v>
      </c>
      <c r="O24" s="35"/>
      <c r="Q24" s="7"/>
    </row>
    <row r="25" spans="1:17" x14ac:dyDescent="0.2">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c r="M25" s="6" t="s">
        <v>48</v>
      </c>
      <c r="N25" s="7">
        <f>Gesamt!C35</f>
        <v>0</v>
      </c>
      <c r="O25" s="35"/>
      <c r="Q25" s="7"/>
    </row>
    <row r="26" spans="1:17" x14ac:dyDescent="0.2">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c r="M26" s="6" t="s">
        <v>49</v>
      </c>
      <c r="N26" s="7">
        <f>Gesamt!C36</f>
        <v>0</v>
      </c>
      <c r="O26" s="35"/>
      <c r="Q26" s="7"/>
    </row>
    <row r="27" spans="1:17" x14ac:dyDescent="0.2">
      <c r="A27" s="29">
        <v>46079</v>
      </c>
      <c r="B27" t="str">
        <f t="shared" si="0"/>
        <v>Do</v>
      </c>
      <c r="C27" s="2" t="s">
        <v>22</v>
      </c>
      <c r="G27" s="27">
        <f t="shared" ca="1" si="1"/>
        <v>8</v>
      </c>
      <c r="H27" s="27">
        <f ca="1">IF(Q27&lt;&gt;"",Q27,IF(OR(C27="Feiertag",A27&lt;Gesamt!$B$11,A27&gt;Gesamt!$B$13,),0,INDIRECT("N"&amp;WEEKDAY(A27,2)+19)))</f>
        <v>8</v>
      </c>
      <c r="I27" s="27">
        <f t="shared" si="2"/>
        <v>0</v>
      </c>
      <c r="J27" s="7" t="s">
        <v>72</v>
      </c>
      <c r="K27" s="39">
        <v>30</v>
      </c>
      <c r="L27" s="39"/>
      <c r="M27" s="13" t="s">
        <v>54</v>
      </c>
      <c r="N27" s="27">
        <f>SUM(N20:N26)</f>
        <v>38.5</v>
      </c>
      <c r="O27" s="35"/>
      <c r="Q27" s="7"/>
    </row>
    <row r="28" spans="1:17" x14ac:dyDescent="0.2">
      <c r="A28" s="29">
        <v>46080</v>
      </c>
      <c r="B28" t="str">
        <f t="shared" si="0"/>
        <v>Fr</v>
      </c>
      <c r="C28" s="2" t="s">
        <v>22</v>
      </c>
      <c r="G28" s="27">
        <f t="shared" ca="1" si="1"/>
        <v>6.5</v>
      </c>
      <c r="H28" s="27">
        <f ca="1">IF(Q28&lt;&gt;"",Q28,IF(OR(C28="Feiertag",A28&lt;Gesamt!$B$11,A28&gt;Gesamt!$B$13,),0,INDIRECT("N"&amp;WEEKDAY(A28,2)+19)))</f>
        <v>6.5</v>
      </c>
      <c r="I28" s="27">
        <f t="shared" si="2"/>
        <v>0</v>
      </c>
      <c r="J28" s="7" t="s">
        <v>72</v>
      </c>
      <c r="K28" s="39">
        <v>30</v>
      </c>
      <c r="L28" s="39"/>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t="s">
        <v>72</v>
      </c>
      <c r="K29" s="39">
        <v>30</v>
      </c>
      <c r="L29" s="39"/>
      <c r="O29" s="35"/>
      <c r="Q29" s="7"/>
    </row>
    <row r="30" spans="1:17" x14ac:dyDescent="0.2">
      <c r="A30" s="29"/>
      <c r="B30"/>
      <c r="G30" s="27"/>
      <c r="H30" s="27"/>
      <c r="I30" s="27"/>
      <c r="J30" s="7"/>
      <c r="K30" s="39"/>
      <c r="L30" s="39"/>
      <c r="O30" s="35"/>
      <c r="Q30" s="7"/>
    </row>
    <row r="31" spans="1:17" x14ac:dyDescent="0.2">
      <c r="A31" s="23"/>
      <c r="H31" s="7"/>
      <c r="I31" s="7"/>
      <c r="J31" s="2" t="s">
        <v>68</v>
      </c>
      <c r="K31" s="39">
        <f>SUM(K2:K30)</f>
        <v>840</v>
      </c>
      <c r="L31" s="39">
        <f>SUM(L2:L30)</f>
        <v>0</v>
      </c>
    </row>
    <row r="32" spans="1:17" x14ac:dyDescent="0.2">
      <c r="A32" s="23"/>
      <c r="H32" s="7"/>
      <c r="I32" s="7"/>
      <c r="J32" s="7"/>
      <c r="M32" s="42" t="s">
        <v>74</v>
      </c>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43" priority="7">
      <formula>$C3="Feiertag"</formula>
    </cfRule>
    <cfRule type="expression" dxfId="42" priority="8">
      <formula>WEEKDAY($A3,2)&gt;=6</formula>
    </cfRule>
  </conditionalFormatting>
  <conditionalFormatting sqref="A8:I29">
    <cfRule type="expression" dxfId="41" priority="1">
      <formula>$C8="Feiertag"</formula>
    </cfRule>
    <cfRule type="expression" dxfId="40" priority="2">
      <formula>WEEKDAY($A8,2)&gt;=6</formula>
    </cfRule>
  </conditionalFormatting>
  <conditionalFormatting sqref="A2:J2 G3:J3 G4:I7 J4:J29">
    <cfRule type="expression" dxfId="39" priority="9">
      <formula>$C2="Feiertag"</formula>
    </cfRule>
    <cfRule type="expression" dxfId="38"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C31" sqref="C31"/>
    </sheetView>
  </sheetViews>
  <sheetFormatPr baseColWidth="10" defaultColWidth="11.5" defaultRowHeight="15" x14ac:dyDescent="0.2"/>
  <cols>
    <col min="1" max="1" width="7.5" style="2" bestFit="1" customWidth="1"/>
    <col min="2" max="2" width="4" style="2" bestFit="1" customWidth="1"/>
    <col min="3" max="3" width="21.5" style="2" bestFit="1" customWidth="1"/>
    <col min="4" max="4" width="9.5" style="24" bestFit="1" customWidth="1"/>
    <col min="5" max="5" width="7" style="24" bestFit="1" customWidth="1"/>
    <col min="6" max="6" width="6.5" style="24" bestFit="1" customWidth="1"/>
    <col min="7" max="7" width="10.5" style="7" bestFit="1" customWidth="1"/>
    <col min="8" max="8" width="11.5" style="2" bestFit="1" customWidth="1"/>
    <col min="9" max="9" width="12.5" style="2" bestFit="1" customWidth="1"/>
    <col min="10" max="10" width="16.5" style="2" customWidth="1"/>
    <col min="11" max="11" width="11.5" style="2"/>
    <col min="12" max="12" width="11.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72</v>
      </c>
      <c r="K2" s="39">
        <v>30</v>
      </c>
      <c r="L2" s="39">
        <v>17</v>
      </c>
      <c r="M2" s="25"/>
      <c r="O2" s="35"/>
      <c r="Q2" s="7"/>
    </row>
    <row r="3" spans="1:17" x14ac:dyDescent="0.2">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72</v>
      </c>
      <c r="K3" s="39">
        <v>30</v>
      </c>
      <c r="L3" s="39">
        <v>17</v>
      </c>
      <c r="M3" s="46" t="str">
        <f>Gesamt!A3</f>
        <v>Mario MARGAN</v>
      </c>
      <c r="N3" s="46"/>
      <c r="O3" s="35"/>
      <c r="Q3" s="7"/>
    </row>
    <row r="4" spans="1:17" x14ac:dyDescent="0.2">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v>17</v>
      </c>
      <c r="O4" s="35"/>
      <c r="Q4" s="7"/>
    </row>
    <row r="5" spans="1:17" x14ac:dyDescent="0.2">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v>17</v>
      </c>
      <c r="M5" s="1" t="s">
        <v>8</v>
      </c>
      <c r="N5" s="27">
        <f ca="1">SUM(I2:I32)</f>
        <v>-2.4868995751603507E-14</v>
      </c>
      <c r="O5" s="35"/>
      <c r="Q5" s="7"/>
    </row>
    <row r="6" spans="1:17" x14ac:dyDescent="0.2">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v>17</v>
      </c>
      <c r="M6" s="25"/>
      <c r="O6" s="35"/>
      <c r="Q6" s="7"/>
    </row>
    <row r="7" spans="1:17" x14ac:dyDescent="0.2">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72</v>
      </c>
      <c r="K7" s="39">
        <v>30</v>
      </c>
      <c r="L7" s="39">
        <v>17</v>
      </c>
      <c r="M7" s="1" t="s">
        <v>59</v>
      </c>
      <c r="N7" s="27">
        <f ca="1">Gesamt!B9+SUM(Gesamt!E2:E4)-SUM(Gesamt!J2:J4)</f>
        <v>-7.2830630415410269E-14</v>
      </c>
      <c r="O7" s="35"/>
      <c r="Q7" s="7"/>
    </row>
    <row r="8" spans="1:17" x14ac:dyDescent="0.2">
      <c r="A8" s="29">
        <v>46088</v>
      </c>
      <c r="B8" t="str">
        <f t="shared" si="0"/>
        <v>Sa</v>
      </c>
      <c r="G8" s="27">
        <f t="shared" si="1"/>
        <v>0</v>
      </c>
      <c r="H8" s="27">
        <f ca="1">IF(Q8&lt;&gt;"",Q8,IF(OR(C8="Feiertag",A8&lt;Gesamt!$B$11,A8&gt;Gesamt!$B$13,),0,INDIRECT("N"&amp;WEEKDAY(A8,2)+19)))</f>
        <v>0</v>
      </c>
      <c r="I8" s="27">
        <f t="shared" si="2"/>
        <v>0</v>
      </c>
      <c r="J8" s="7" t="s">
        <v>72</v>
      </c>
      <c r="K8" s="39">
        <v>30</v>
      </c>
      <c r="L8" s="39">
        <v>17</v>
      </c>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t="s">
        <v>72</v>
      </c>
      <c r="K9" s="39">
        <v>30</v>
      </c>
      <c r="L9" s="39">
        <v>17</v>
      </c>
      <c r="M9" s="1" t="s">
        <v>25</v>
      </c>
      <c r="N9">
        <f>COUNTIF(C2:C32,"krank")</f>
        <v>0</v>
      </c>
      <c r="O9" s="35"/>
      <c r="Q9" s="7"/>
    </row>
    <row r="10" spans="1:17" x14ac:dyDescent="0.2">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2">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v>17</v>
      </c>
      <c r="M11" s="1" t="s">
        <v>57</v>
      </c>
      <c r="N11" s="28">
        <f>SUM(Gesamt!F2:F4)</f>
        <v>0</v>
      </c>
      <c r="O11" s="35"/>
      <c r="Q11" s="7"/>
    </row>
    <row r="12" spans="1:17" x14ac:dyDescent="0.2">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v>17</v>
      </c>
      <c r="M12" s="25"/>
      <c r="O12" s="35"/>
      <c r="Q12" s="7"/>
    </row>
    <row r="13" spans="1:17" x14ac:dyDescent="0.2">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17</v>
      </c>
      <c r="M13" s="1" t="s">
        <v>26</v>
      </c>
      <c r="N13">
        <f>COUNTIF(C2:C32, "Urlaub")+COUNTIF(C2:C32,"Urlaub halber Tag")/2</f>
        <v>5</v>
      </c>
      <c r="O13" s="35"/>
      <c r="Q13" s="7"/>
    </row>
    <row r="14" spans="1:17" x14ac:dyDescent="0.2">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v>30</v>
      </c>
      <c r="L14" s="39">
        <v>17</v>
      </c>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t="s">
        <v>72</v>
      </c>
      <c r="K15" s="39">
        <v>30</v>
      </c>
      <c r="L15" s="39">
        <v>17</v>
      </c>
      <c r="M15" s="1" t="s">
        <v>58</v>
      </c>
      <c r="N15">
        <f>Gesamt!B5+Gesamt!B7-SUM(Gesamt!G2:G4)</f>
        <v>5.0192307692307701</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t="s">
        <v>72</v>
      </c>
      <c r="K16" s="39">
        <v>30</v>
      </c>
      <c r="L16" s="39">
        <v>17</v>
      </c>
      <c r="O16" s="35"/>
      <c r="Q16" s="7"/>
    </row>
    <row r="17" spans="1:17" x14ac:dyDescent="0.2">
      <c r="A17" s="29">
        <v>46097</v>
      </c>
      <c r="B17" t="str">
        <f t="shared" si="0"/>
        <v>Mo</v>
      </c>
      <c r="C17" s="2" t="s">
        <v>22</v>
      </c>
      <c r="G17" s="27">
        <f t="shared" ca="1" si="1"/>
        <v>8</v>
      </c>
      <c r="H17" s="27">
        <f ca="1">IF(Q17&lt;&gt;"",Q17,IF(OR(C17="Feiertag",A17&lt;Gesamt!$B$11,A17&gt;Gesamt!$B$13,),0,INDIRECT("N"&amp;WEEKDAY(A17,2)+19)))</f>
        <v>8</v>
      </c>
      <c r="I17" s="27">
        <f t="shared" si="2"/>
        <v>0</v>
      </c>
      <c r="J17" s="7" t="s">
        <v>72</v>
      </c>
      <c r="K17" s="39">
        <v>30</v>
      </c>
      <c r="L17" s="39">
        <v>17</v>
      </c>
      <c r="M17" s="1" t="s">
        <v>50</v>
      </c>
      <c r="N17" s="27">
        <f ca="1">SUM(G2:G32)</f>
        <v>169.99999999999997</v>
      </c>
      <c r="O17" s="35"/>
      <c r="Q17" s="7"/>
    </row>
    <row r="18" spans="1:17" x14ac:dyDescent="0.2">
      <c r="A18" s="29">
        <v>46098</v>
      </c>
      <c r="B18" t="str">
        <f t="shared" si="0"/>
        <v>Di</v>
      </c>
      <c r="C18" s="2" t="s">
        <v>22</v>
      </c>
      <c r="G18" s="27">
        <f t="shared" ca="1" si="1"/>
        <v>8</v>
      </c>
      <c r="H18" s="27">
        <f ca="1">IF(Q18&lt;&gt;"",Q18,IF(OR(C18="Feiertag",A18&lt;Gesamt!$B$11,A18&gt;Gesamt!$B$13,),0,INDIRECT("N"&amp;WEEKDAY(A18,2)+19)))</f>
        <v>8</v>
      </c>
      <c r="I18" s="27">
        <f t="shared" si="2"/>
        <v>0</v>
      </c>
      <c r="J18" s="7" t="s">
        <v>72</v>
      </c>
      <c r="K18" s="39">
        <v>30</v>
      </c>
      <c r="L18" s="39">
        <v>17</v>
      </c>
      <c r="O18" s="35"/>
      <c r="Q18" s="7"/>
    </row>
    <row r="19" spans="1:17" x14ac:dyDescent="0.2">
      <c r="A19" s="29">
        <v>46099</v>
      </c>
      <c r="B19" t="str">
        <f t="shared" si="0"/>
        <v>Mi</v>
      </c>
      <c r="C19" s="2" t="s">
        <v>22</v>
      </c>
      <c r="G19" s="27">
        <f t="shared" ca="1" si="1"/>
        <v>8</v>
      </c>
      <c r="H19" s="27">
        <f ca="1">IF(Q19&lt;&gt;"",Q19,IF(OR(C19="Feiertag",A19&lt;Gesamt!$B$11,A19&gt;Gesamt!$B$13,),0,INDIRECT("N"&amp;WEEKDAY(A19,2)+19)))</f>
        <v>8</v>
      </c>
      <c r="I19" s="27">
        <f t="shared" si="2"/>
        <v>0</v>
      </c>
      <c r="J19" s="7" t="s">
        <v>72</v>
      </c>
      <c r="K19" s="39">
        <v>30</v>
      </c>
      <c r="L19" s="39">
        <v>17</v>
      </c>
      <c r="M19" s="13" t="s">
        <v>6</v>
      </c>
      <c r="O19" s="35"/>
      <c r="Q19" s="7"/>
    </row>
    <row r="20" spans="1:17" x14ac:dyDescent="0.2">
      <c r="A20" s="29">
        <v>46100</v>
      </c>
      <c r="B20" t="str">
        <f t="shared" si="0"/>
        <v>Do</v>
      </c>
      <c r="C20" s="2" t="s">
        <v>22</v>
      </c>
      <c r="G20" s="27">
        <f t="shared" ca="1" si="1"/>
        <v>8</v>
      </c>
      <c r="H20" s="27">
        <f ca="1">IF(Q20&lt;&gt;"",Q20,IF(OR(C20="Feiertag",A20&lt;Gesamt!$B$11,A20&gt;Gesamt!$B$13,),0,INDIRECT("N"&amp;WEEKDAY(A20,2)+19)))</f>
        <v>8</v>
      </c>
      <c r="I20" s="27">
        <f t="shared" si="2"/>
        <v>0</v>
      </c>
      <c r="J20" s="7" t="s">
        <v>72</v>
      </c>
      <c r="K20" s="39">
        <v>30</v>
      </c>
      <c r="L20" s="39">
        <v>17</v>
      </c>
      <c r="M20" s="6" t="s">
        <v>43</v>
      </c>
      <c r="N20" s="7">
        <f>Gesamt!C30</f>
        <v>8</v>
      </c>
      <c r="O20" s="35"/>
      <c r="Q20" s="7"/>
    </row>
    <row r="21" spans="1:17" x14ac:dyDescent="0.2">
      <c r="A21" s="29">
        <v>46101</v>
      </c>
      <c r="B21" t="str">
        <f t="shared" si="0"/>
        <v>Fr</v>
      </c>
      <c r="C21" s="2" t="s">
        <v>22</v>
      </c>
      <c r="G21" s="27">
        <f t="shared" ca="1" si="1"/>
        <v>6.5</v>
      </c>
      <c r="H21" s="27">
        <f ca="1">IF(Q21&lt;&gt;"",Q21,IF(OR(C21="Feiertag",A21&lt;Gesamt!$B$11,A21&gt;Gesamt!$B$13,),0,INDIRECT("N"&amp;WEEKDAY(A21,2)+19)))</f>
        <v>6.5</v>
      </c>
      <c r="I21" s="27">
        <f t="shared" si="2"/>
        <v>0</v>
      </c>
      <c r="J21" s="7" t="s">
        <v>72</v>
      </c>
      <c r="K21" s="39">
        <v>30</v>
      </c>
      <c r="L21" s="39">
        <v>17</v>
      </c>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t="s">
        <v>72</v>
      </c>
      <c r="K22" s="39">
        <v>30</v>
      </c>
      <c r="L22" s="39">
        <v>17</v>
      </c>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t="s">
        <v>72</v>
      </c>
      <c r="K23" s="39">
        <v>30</v>
      </c>
      <c r="L23" s="39">
        <v>17</v>
      </c>
      <c r="M23" s="6" t="s">
        <v>46</v>
      </c>
      <c r="N23" s="7">
        <f>Gesamt!C33</f>
        <v>8</v>
      </c>
      <c r="O23" s="35"/>
      <c r="Q23" s="7"/>
    </row>
    <row r="24" spans="1:17" x14ac:dyDescent="0.2">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v>17</v>
      </c>
      <c r="M24" s="6" t="s">
        <v>47</v>
      </c>
      <c r="N24" s="7">
        <f>Gesamt!C34</f>
        <v>6.5</v>
      </c>
      <c r="O24" s="35"/>
      <c r="Q24" s="7"/>
    </row>
    <row r="25" spans="1:17" x14ac:dyDescent="0.2">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v>17</v>
      </c>
      <c r="M25" s="6" t="s">
        <v>48</v>
      </c>
      <c r="N25" s="7">
        <f>Gesamt!C35</f>
        <v>0</v>
      </c>
      <c r="O25" s="35"/>
      <c r="Q25" s="7"/>
    </row>
    <row r="26" spans="1:17" x14ac:dyDescent="0.2">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v>17</v>
      </c>
      <c r="M26" s="6" t="s">
        <v>49</v>
      </c>
      <c r="N26" s="7">
        <f>Gesamt!C36</f>
        <v>0</v>
      </c>
      <c r="O26" s="35"/>
      <c r="Q26" s="7"/>
    </row>
    <row r="27" spans="1:17" x14ac:dyDescent="0.2">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17</v>
      </c>
      <c r="M27" s="13" t="s">
        <v>54</v>
      </c>
      <c r="N27" s="27">
        <f>SUM(N20:N26)</f>
        <v>38.5</v>
      </c>
      <c r="O27" s="35"/>
      <c r="Q27" s="7"/>
    </row>
    <row r="28" spans="1:17" x14ac:dyDescent="0.2">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72</v>
      </c>
      <c r="K28" s="39">
        <v>30</v>
      </c>
      <c r="L28" s="39">
        <v>17</v>
      </c>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t="s">
        <v>72</v>
      </c>
      <c r="K29" s="39">
        <v>30</v>
      </c>
      <c r="L29" s="39">
        <v>17</v>
      </c>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t="s">
        <v>72</v>
      </c>
      <c r="K30" s="39">
        <v>30</v>
      </c>
      <c r="L30" s="39">
        <v>17</v>
      </c>
      <c r="M30" s="43" t="s">
        <v>75</v>
      </c>
      <c r="O30" s="35"/>
      <c r="Q30" s="7"/>
    </row>
    <row r="31" spans="1:17" x14ac:dyDescent="0.2">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O31" s="35"/>
      <c r="Q31" s="7"/>
    </row>
    <row r="32" spans="1:17" x14ac:dyDescent="0.2">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72</v>
      </c>
      <c r="K32" s="39">
        <v>30</v>
      </c>
      <c r="L32" s="39">
        <v>17</v>
      </c>
      <c r="O32" s="35"/>
      <c r="Q32" s="7"/>
    </row>
    <row r="33" spans="10:12" x14ac:dyDescent="0.2">
      <c r="K33" s="39"/>
      <c r="L33" s="39"/>
    </row>
    <row r="34" spans="10:12" x14ac:dyDescent="0.2">
      <c r="J34" s="2" t="s">
        <v>68</v>
      </c>
      <c r="K34" s="39">
        <f>SUM(K2:K33)</f>
        <v>930</v>
      </c>
      <c r="L34" s="39">
        <f>SUM(L2:L33)</f>
        <v>527</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37" priority="9">
      <formula>$C3="Feiertag"</formula>
    </cfRule>
    <cfRule type="expression" dxfId="36" priority="10">
      <formula>WEEKDAY($A3,2)&gt;=6</formula>
    </cfRule>
  </conditionalFormatting>
  <conditionalFormatting sqref="A8:I32">
    <cfRule type="expression" dxfId="35" priority="1">
      <formula>$C8="Feiertag"</formula>
    </cfRule>
    <cfRule type="expression" dxfId="34" priority="2">
      <formula>WEEKDAY($A8,2)&gt;=6</formula>
    </cfRule>
  </conditionalFormatting>
  <conditionalFormatting sqref="A2:J2 G3:J3 G4:I7 J4:J32">
    <cfRule type="expression" dxfId="33" priority="11">
      <formula>$C2="Feiertag"</formula>
    </cfRule>
    <cfRule type="expression" dxfId="32"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10" zoomScaleNormal="100" workbookViewId="0">
      <selection activeCell="I41" sqref="I41"/>
    </sheetView>
  </sheetViews>
  <sheetFormatPr baseColWidth="10" defaultColWidth="11.5" defaultRowHeight="15" x14ac:dyDescent="0.2"/>
  <cols>
    <col min="1" max="1" width="7.1640625" style="2" bestFit="1" customWidth="1"/>
    <col min="2" max="2" width="4" style="2" bestFit="1" customWidth="1"/>
    <col min="3" max="3" width="21.5" style="2" bestFit="1" customWidth="1"/>
    <col min="4" max="4" width="9.5" style="24" bestFit="1" customWidth="1"/>
    <col min="5" max="5" width="7" style="24" bestFit="1" customWidth="1"/>
    <col min="6" max="6" width="6.5" style="24" bestFit="1" customWidth="1"/>
    <col min="7" max="7" width="10.5" style="7" bestFit="1" customWidth="1"/>
    <col min="8" max="8" width="11.5" style="2" bestFit="1" customWidth="1"/>
    <col min="9" max="9" width="12.5" style="2" bestFit="1" customWidth="1"/>
    <col min="10" max="10" width="16.5" style="2" customWidth="1"/>
    <col min="11" max="11" width="11.5" style="2"/>
    <col min="12" max="12" width="11.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72</v>
      </c>
      <c r="K2" s="39">
        <v>30</v>
      </c>
      <c r="L2" s="39">
        <v>17</v>
      </c>
      <c r="M2" s="25"/>
      <c r="O2" s="35"/>
      <c r="Q2" s="7"/>
    </row>
    <row r="3" spans="1:17" x14ac:dyDescent="0.2">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72</v>
      </c>
      <c r="K3" s="39">
        <v>30</v>
      </c>
      <c r="L3" s="39">
        <v>17</v>
      </c>
      <c r="M3" s="46" t="str">
        <f>Gesamt!A3</f>
        <v>Mario MARGAN</v>
      </c>
      <c r="N3" s="46"/>
      <c r="O3" s="35"/>
      <c r="Q3" s="7"/>
    </row>
    <row r="4" spans="1:17" x14ac:dyDescent="0.2">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72</v>
      </c>
      <c r="K4" s="39">
        <v>30</v>
      </c>
      <c r="L4" s="39">
        <v>17</v>
      </c>
      <c r="O4" s="35"/>
      <c r="Q4" s="7"/>
    </row>
    <row r="5" spans="1:17" x14ac:dyDescent="0.2">
      <c r="A5" s="29">
        <v>46116</v>
      </c>
      <c r="B5" t="str">
        <f t="shared" si="0"/>
        <v>Sa</v>
      </c>
      <c r="G5" s="27">
        <f t="shared" si="1"/>
        <v>0</v>
      </c>
      <c r="H5" s="27">
        <f ca="1">IF(Q5&lt;&gt;"",Q5,IF(OR(C5="Feiertag",A5&lt;Gesamt!$B$11,A5&gt;Gesamt!$B$13,),0,INDIRECT("N"&amp;WEEKDAY(A5,2)+19)))</f>
        <v>0</v>
      </c>
      <c r="I5" s="27">
        <f t="shared" si="2"/>
        <v>0</v>
      </c>
      <c r="J5" s="7" t="s">
        <v>72</v>
      </c>
      <c r="K5" s="39"/>
      <c r="L5" s="39">
        <v>17</v>
      </c>
      <c r="M5" s="1" t="s">
        <v>8</v>
      </c>
      <c r="N5" s="27">
        <f ca="1">SUM(I2:I32)</f>
        <v>-2.8421709430404007E-14</v>
      </c>
      <c r="O5" s="35"/>
      <c r="Q5" s="7"/>
    </row>
    <row r="6" spans="1:17" x14ac:dyDescent="0.2">
      <c r="A6" s="29">
        <v>46117</v>
      </c>
      <c r="B6" t="str">
        <f t="shared" si="0"/>
        <v>So</v>
      </c>
      <c r="G6" s="27">
        <f t="shared" si="1"/>
        <v>0</v>
      </c>
      <c r="H6" s="27">
        <f ca="1">IF(Q6&lt;&gt;"",Q6,IF(OR(C6="Feiertag",A6&lt;Gesamt!$B$11,A6&gt;Gesamt!$B$13,),0,INDIRECT("N"&amp;WEEKDAY(A6,2)+19)))</f>
        <v>0</v>
      </c>
      <c r="I6" s="27">
        <f t="shared" si="2"/>
        <v>0</v>
      </c>
      <c r="J6" s="7" t="s">
        <v>72</v>
      </c>
      <c r="K6" s="39"/>
      <c r="L6" s="39">
        <v>17</v>
      </c>
      <c r="M6" s="25"/>
      <c r="O6" s="35"/>
      <c r="Q6" s="7"/>
    </row>
    <row r="7" spans="1:17" x14ac:dyDescent="0.2">
      <c r="A7" s="29">
        <v>46118</v>
      </c>
      <c r="B7" t="str">
        <f t="shared" si="0"/>
        <v>Mo</v>
      </c>
      <c r="C7" s="2" t="s">
        <v>65</v>
      </c>
      <c r="G7" s="27">
        <f t="shared" si="1"/>
        <v>0</v>
      </c>
      <c r="H7" s="27">
        <f ca="1">IF(Q7&lt;&gt;"",Q7,IF(OR(C7="Feiertag",A7&lt;Gesamt!$B$11,A7&gt;Gesamt!$B$13,),0,INDIRECT("N"&amp;WEEKDAY(A7,2)+19)))</f>
        <v>0</v>
      </c>
      <c r="I7" s="27">
        <f t="shared" si="2"/>
        <v>0</v>
      </c>
      <c r="J7" s="7" t="s">
        <v>72</v>
      </c>
      <c r="K7" s="39"/>
      <c r="L7" s="39">
        <v>17</v>
      </c>
      <c r="M7" s="1" t="s">
        <v>59</v>
      </c>
      <c r="N7" s="27">
        <f ca="1">Gesamt!B9+SUM(Gesamt!E2:E5)-SUM(Gesamt!J2:J5)</f>
        <v>-1.0125233984581428E-13</v>
      </c>
      <c r="O7" s="35"/>
      <c r="Q7" s="7"/>
    </row>
    <row r="8" spans="1:17" x14ac:dyDescent="0.2">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v>30</v>
      </c>
      <c r="L8" s="39">
        <v>17</v>
      </c>
      <c r="M8" s="25"/>
      <c r="O8" s="35"/>
      <c r="Q8" s="7"/>
    </row>
    <row r="9" spans="1:17" x14ac:dyDescent="0.2">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72</v>
      </c>
      <c r="K9" s="39">
        <v>30</v>
      </c>
      <c r="L9" s="39">
        <v>17</v>
      </c>
      <c r="M9" s="1" t="s">
        <v>25</v>
      </c>
      <c r="N9">
        <f>COUNTIF(C2:C32,"krank")</f>
        <v>0</v>
      </c>
      <c r="O9" s="35"/>
      <c r="Q9" s="7"/>
    </row>
    <row r="10" spans="1:17" x14ac:dyDescent="0.2">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2">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72</v>
      </c>
      <c r="K11" s="39">
        <v>30</v>
      </c>
      <c r="L11" s="39">
        <v>17</v>
      </c>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t="s">
        <v>72</v>
      </c>
      <c r="K12" s="39">
        <v>30</v>
      </c>
      <c r="L12" s="39">
        <v>17</v>
      </c>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t="s">
        <v>72</v>
      </c>
      <c r="K13" s="39">
        <v>30</v>
      </c>
      <c r="L13" s="39">
        <v>17</v>
      </c>
      <c r="M13" s="1" t="s">
        <v>26</v>
      </c>
      <c r="N13">
        <f>COUNTIF(C2:C32, "Urlaub")+COUNTIF(C2:C32,"Urlaub halber Tag")/2</f>
        <v>1</v>
      </c>
      <c r="O13" s="35"/>
      <c r="Q13" s="7"/>
    </row>
    <row r="14" spans="1:17" x14ac:dyDescent="0.2">
      <c r="A14" s="29">
        <v>46125</v>
      </c>
      <c r="B14" t="str">
        <f t="shared" si="0"/>
        <v>Mo</v>
      </c>
      <c r="C14" s="2" t="s">
        <v>22</v>
      </c>
      <c r="G14" s="27">
        <f t="shared" ca="1" si="1"/>
        <v>8</v>
      </c>
      <c r="H14" s="27">
        <f ca="1">IF(Q14&lt;&gt;"",Q14,IF(OR(C14="Feiertag",A14&lt;Gesamt!$B$11,A14&gt;Gesamt!$B$13,),0,INDIRECT("N"&amp;WEEKDAY(A14,2)+19)))</f>
        <v>8</v>
      </c>
      <c r="I14" s="27">
        <f t="shared" si="2"/>
        <v>0</v>
      </c>
      <c r="J14" s="7" t="s">
        <v>72</v>
      </c>
      <c r="K14" s="39">
        <v>30</v>
      </c>
      <c r="L14" s="39">
        <v>17</v>
      </c>
      <c r="M14" s="25"/>
      <c r="O14" s="35"/>
      <c r="Q14" s="7"/>
    </row>
    <row r="15" spans="1:17" x14ac:dyDescent="0.2">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30</v>
      </c>
      <c r="L15" s="39">
        <v>17</v>
      </c>
      <c r="M15" s="1" t="s">
        <v>58</v>
      </c>
      <c r="N15">
        <f>Gesamt!B5+Gesamt!B7-SUM(Gesamt!G2:G5)</f>
        <v>4.0192307692307701</v>
      </c>
      <c r="O15" s="35"/>
      <c r="Q15" s="7"/>
    </row>
    <row r="16" spans="1:17" x14ac:dyDescent="0.2">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v>17</v>
      </c>
      <c r="O16" s="35"/>
      <c r="Q16" s="7"/>
    </row>
    <row r="17" spans="1:17" x14ac:dyDescent="0.2">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v>17</v>
      </c>
      <c r="M17" s="1" t="s">
        <v>50</v>
      </c>
      <c r="N17" s="27">
        <f ca="1">SUM(G2:G32)</f>
        <v>162</v>
      </c>
      <c r="O17" s="35"/>
      <c r="Q17" s="7"/>
    </row>
    <row r="18" spans="1:17" x14ac:dyDescent="0.2">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72</v>
      </c>
      <c r="K18" s="39">
        <v>30</v>
      </c>
      <c r="L18" s="39">
        <v>17</v>
      </c>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t="s">
        <v>72</v>
      </c>
      <c r="K19" s="39">
        <v>30</v>
      </c>
      <c r="L19" s="39">
        <v>17</v>
      </c>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t="s">
        <v>72</v>
      </c>
      <c r="K20" s="39">
        <v>30</v>
      </c>
      <c r="L20" s="39">
        <v>17</v>
      </c>
      <c r="M20" s="6" t="s">
        <v>43</v>
      </c>
      <c r="N20" s="7">
        <f>Gesamt!C30</f>
        <v>8</v>
      </c>
      <c r="O20" s="35"/>
      <c r="Q20" s="7"/>
    </row>
    <row r="21" spans="1:17" x14ac:dyDescent="0.2">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v>17</v>
      </c>
      <c r="M21" s="6" t="s">
        <v>44</v>
      </c>
      <c r="N21" s="7">
        <f>Gesamt!C31</f>
        <v>8</v>
      </c>
      <c r="O21" s="35"/>
      <c r="Q21" s="7"/>
    </row>
    <row r="22" spans="1:17" x14ac:dyDescent="0.2">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v>17</v>
      </c>
      <c r="M22" s="6" t="s">
        <v>45</v>
      </c>
      <c r="N22" s="7">
        <f>Gesamt!C32</f>
        <v>8</v>
      </c>
      <c r="O22" s="35"/>
      <c r="Q22" s="7"/>
    </row>
    <row r="23" spans="1:17" x14ac:dyDescent="0.2">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v>17</v>
      </c>
      <c r="M23" s="6" t="s">
        <v>46</v>
      </c>
      <c r="N23" s="7">
        <f>Gesamt!C33</f>
        <v>8</v>
      </c>
      <c r="O23" s="35"/>
      <c r="Q23" s="7"/>
    </row>
    <row r="24" spans="1:17" x14ac:dyDescent="0.2">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v>17</v>
      </c>
      <c r="M24" s="6" t="s">
        <v>47</v>
      </c>
      <c r="N24" s="7">
        <f>Gesamt!C34</f>
        <v>6.5</v>
      </c>
      <c r="O24" s="35"/>
      <c r="Q24" s="7"/>
    </row>
    <row r="25" spans="1:17" x14ac:dyDescent="0.2">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72</v>
      </c>
      <c r="K25" s="39">
        <v>30</v>
      </c>
      <c r="L25" s="39">
        <v>17</v>
      </c>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t="s">
        <v>72</v>
      </c>
      <c r="K26" s="39">
        <v>30</v>
      </c>
      <c r="L26" s="39">
        <v>17</v>
      </c>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t="s">
        <v>72</v>
      </c>
      <c r="K27" s="39">
        <v>30</v>
      </c>
      <c r="L27" s="39">
        <v>17</v>
      </c>
      <c r="M27" s="13" t="s">
        <v>54</v>
      </c>
      <c r="N27" s="27">
        <f>SUM(N20:N26)</f>
        <v>38.5</v>
      </c>
      <c r="O27" s="35"/>
      <c r="Q27" s="7"/>
    </row>
    <row r="28" spans="1:17" x14ac:dyDescent="0.2">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v>17</v>
      </c>
      <c r="O28" s="35"/>
      <c r="Q28" s="7"/>
    </row>
    <row r="29" spans="1:17" x14ac:dyDescent="0.2">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v>17</v>
      </c>
      <c r="O29" s="35"/>
      <c r="Q29" s="7"/>
    </row>
    <row r="30" spans="1:17" x14ac:dyDescent="0.2">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17</v>
      </c>
      <c r="M30" s="43" t="s">
        <v>76</v>
      </c>
      <c r="O30" s="35"/>
      <c r="Q30" s="7"/>
    </row>
    <row r="31" spans="1:17" x14ac:dyDescent="0.2">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O31" s="35"/>
      <c r="Q31" s="7"/>
    </row>
    <row r="32" spans="1:17" x14ac:dyDescent="0.2">
      <c r="A32" s="23"/>
      <c r="H32" s="7"/>
      <c r="I32" s="7"/>
      <c r="J32" s="7"/>
      <c r="K32" s="39"/>
      <c r="L32" s="39"/>
    </row>
    <row r="33" spans="10:12" x14ac:dyDescent="0.2">
      <c r="J33" s="2" t="s">
        <v>68</v>
      </c>
      <c r="K33" s="39">
        <f>SUM(K2:K32)</f>
        <v>810</v>
      </c>
      <c r="L33" s="39">
        <f>SUM(L2:L32)</f>
        <v>510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31" priority="1">
      <formula>$C2="Feiertag"</formula>
    </cfRule>
    <cfRule type="expression" dxfId="30" priority="2">
      <formula>WEEKDAY($A2,2)&gt;=6</formula>
    </cfRule>
  </conditionalFormatting>
  <conditionalFormatting sqref="A5:I31">
    <cfRule type="expression" dxfId="29" priority="3">
      <formula>$C5="Feiertag"</formula>
    </cfRule>
    <cfRule type="expression" dxfId="28" priority="4">
      <formula>WEEKDAY($A5,2)&gt;=6</formula>
    </cfRule>
  </conditionalFormatting>
  <conditionalFormatting sqref="G2:J2 G3:I4 J3:J31">
    <cfRule type="expression" dxfId="27" priority="11">
      <formula>$C2="Feiertag"</formula>
    </cfRule>
    <cfRule type="expression" dxfId="26"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G35" sqref="G35"/>
    </sheetView>
  </sheetViews>
  <sheetFormatPr baseColWidth="10" defaultColWidth="11.5" defaultRowHeight="15" x14ac:dyDescent="0.2"/>
  <cols>
    <col min="1" max="1" width="7.5" style="2" bestFit="1" customWidth="1"/>
    <col min="2" max="2" width="4" style="2" bestFit="1" customWidth="1"/>
    <col min="3" max="3" width="21.5" style="2" bestFit="1" customWidth="1"/>
    <col min="4" max="4" width="9.5" style="24" bestFit="1" customWidth="1"/>
    <col min="5" max="5" width="7" style="24" bestFit="1" customWidth="1"/>
    <col min="6" max="6" width="6.5" style="24" bestFit="1" customWidth="1"/>
    <col min="7" max="7" width="10.5" style="7" bestFit="1" customWidth="1"/>
    <col min="8" max="8" width="11.5" style="2" bestFit="1" customWidth="1"/>
    <col min="9" max="9" width="12.5" style="2" bestFit="1" customWidth="1"/>
    <col min="10" max="10" width="16.5" style="2" customWidth="1"/>
    <col min="11" max="11" width="11.5" style="2"/>
    <col min="12" max="12" width="11.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Mario MARGAN</v>
      </c>
      <c r="N3" s="46"/>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78</v>
      </c>
      <c r="K5" s="39">
        <v>30</v>
      </c>
      <c r="L5" s="39"/>
      <c r="M5" s="1" t="s">
        <v>8</v>
      </c>
      <c r="N5" s="27">
        <f ca="1">SUM(I2:I32)</f>
        <v>-2.4868995751603507E-14</v>
      </c>
      <c r="O5" s="35"/>
      <c r="Q5" s="7"/>
    </row>
    <row r="6" spans="1:17" x14ac:dyDescent="0.2">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78</v>
      </c>
      <c r="K6" s="39">
        <v>30</v>
      </c>
      <c r="L6" s="39"/>
      <c r="M6" s="25"/>
      <c r="O6" s="35"/>
      <c r="Q6" s="7"/>
    </row>
    <row r="7" spans="1:17" x14ac:dyDescent="0.2">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78</v>
      </c>
      <c r="K7" s="39">
        <v>30</v>
      </c>
      <c r="L7" s="39"/>
      <c r="M7" s="1" t="s">
        <v>59</v>
      </c>
      <c r="N7" s="27">
        <f ca="1">Gesamt!B9+SUM(Gesamt!E2:E6)-SUM(Gesamt!J2:J6)</f>
        <v>-1.2612133559741778E-13</v>
      </c>
      <c r="O7" s="35"/>
      <c r="Q7" s="7"/>
    </row>
    <row r="8" spans="1:17" x14ac:dyDescent="0.2">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78</v>
      </c>
      <c r="K8" s="39">
        <v>30</v>
      </c>
      <c r="L8" s="39"/>
      <c r="M8" s="25"/>
      <c r="O8" s="35"/>
      <c r="Q8" s="7"/>
    </row>
    <row r="9" spans="1:17" x14ac:dyDescent="0.2">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78</v>
      </c>
      <c r="K9" s="39">
        <v>30</v>
      </c>
      <c r="L9" s="39"/>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2">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78</v>
      </c>
      <c r="K12" s="39">
        <v>30</v>
      </c>
      <c r="L12" s="39"/>
      <c r="M12" s="25"/>
      <c r="O12" s="35"/>
      <c r="Q12" s="7"/>
    </row>
    <row r="13" spans="1:17" x14ac:dyDescent="0.2">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78</v>
      </c>
      <c r="K13" s="39">
        <v>30</v>
      </c>
      <c r="L13" s="39"/>
      <c r="M13" s="1" t="s">
        <v>26</v>
      </c>
      <c r="N13">
        <f>COUNTIF(C2:C32, "Urlaub")+COUNTIF(C2:C32,"Urlaub halber Tag")/2</f>
        <v>1</v>
      </c>
      <c r="O13" s="35"/>
      <c r="Q13" s="7"/>
    </row>
    <row r="14" spans="1:17" x14ac:dyDescent="0.2">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78</v>
      </c>
      <c r="K14" s="39">
        <v>30</v>
      </c>
      <c r="L14" s="39"/>
      <c r="M14" s="25"/>
      <c r="O14" s="35"/>
      <c r="Q14" s="7"/>
    </row>
    <row r="15" spans="1:17" x14ac:dyDescent="0.2">
      <c r="A15" s="29">
        <v>46156</v>
      </c>
      <c r="B15" t="str">
        <f t="shared" si="0"/>
        <v>Do</v>
      </c>
      <c r="C15" s="2" t="s">
        <v>65</v>
      </c>
      <c r="G15" s="27">
        <f t="shared" si="1"/>
        <v>0</v>
      </c>
      <c r="H15" s="27">
        <f ca="1">IF(Q15&lt;&gt;"",Q15,IF(OR(C15="Feiertag",A15&lt;Gesamt!$B$11,A15&gt;Gesamt!$B$13,),0,INDIRECT("N"&amp;WEEKDAY(A15,2)+19)))</f>
        <v>0</v>
      </c>
      <c r="I15" s="27">
        <f t="shared" si="2"/>
        <v>0</v>
      </c>
      <c r="J15" s="7" t="s">
        <v>78</v>
      </c>
      <c r="K15" s="39">
        <v>30</v>
      </c>
      <c r="L15" s="39"/>
      <c r="M15" s="1" t="s">
        <v>58</v>
      </c>
      <c r="N15">
        <f>Gesamt!B5+Gesamt!B7-SUM(Gesamt!G2:G6)</f>
        <v>3.0192307692307701</v>
      </c>
      <c r="O15" s="35"/>
      <c r="Q15" s="7"/>
    </row>
    <row r="16" spans="1:17" x14ac:dyDescent="0.2">
      <c r="A16" s="29">
        <v>46157</v>
      </c>
      <c r="B16" t="str">
        <f t="shared" si="0"/>
        <v>Fr</v>
      </c>
      <c r="C16" s="2" t="s">
        <v>22</v>
      </c>
      <c r="G16" s="27">
        <f t="shared" ca="1" si="1"/>
        <v>6.5</v>
      </c>
      <c r="H16" s="27">
        <f ca="1">IF(Q16&lt;&gt;"",Q16,IF(OR(C16="Feiertag",A16&lt;Gesamt!$B$11,A16&gt;Gesamt!$B$13,),0,INDIRECT("N"&amp;WEEKDAY(A16,2)+19)))</f>
        <v>6.5</v>
      </c>
      <c r="I16" s="27">
        <f t="shared" si="2"/>
        <v>0</v>
      </c>
      <c r="J16" s="7" t="s">
        <v>78</v>
      </c>
      <c r="K16" s="39">
        <v>30</v>
      </c>
      <c r="L16" s="39"/>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 ca="1">SUM(G2:G32)</f>
        <v>138</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2">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78</v>
      </c>
      <c r="K19" s="39">
        <v>30</v>
      </c>
      <c r="L19" s="39"/>
      <c r="M19" s="13" t="s">
        <v>6</v>
      </c>
      <c r="O19" s="35"/>
      <c r="Q19" s="7"/>
    </row>
    <row r="20" spans="1:17" x14ac:dyDescent="0.2">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78</v>
      </c>
      <c r="K20" s="39">
        <v>30</v>
      </c>
      <c r="L20" s="39"/>
      <c r="M20" s="6" t="s">
        <v>43</v>
      </c>
      <c r="N20" s="7">
        <f>Gesamt!C30</f>
        <v>8</v>
      </c>
      <c r="O20" s="35"/>
      <c r="Q20" s="7"/>
    </row>
    <row r="21" spans="1:17" x14ac:dyDescent="0.2">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78</v>
      </c>
      <c r="K21" s="39">
        <v>30</v>
      </c>
      <c r="L21" s="39"/>
      <c r="M21" s="6" t="s">
        <v>44</v>
      </c>
      <c r="N21" s="7">
        <f>Gesamt!C31</f>
        <v>8</v>
      </c>
      <c r="O21" s="35"/>
      <c r="Q21" s="7"/>
    </row>
    <row r="22" spans="1:17" x14ac:dyDescent="0.2">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78</v>
      </c>
      <c r="K22" s="39">
        <v>30</v>
      </c>
      <c r="L22" s="39"/>
      <c r="M22" s="6" t="s">
        <v>45</v>
      </c>
      <c r="N22" s="7">
        <f>Gesamt!C32</f>
        <v>8</v>
      </c>
      <c r="O22" s="35"/>
      <c r="Q22" s="7"/>
    </row>
    <row r="23" spans="1:17" x14ac:dyDescent="0.2">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78</v>
      </c>
      <c r="K23" s="39">
        <v>30</v>
      </c>
      <c r="L23" s="39"/>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78</v>
      </c>
      <c r="K27" s="39">
        <v>30</v>
      </c>
      <c r="L27" s="39"/>
      <c r="M27" s="13" t="s">
        <v>54</v>
      </c>
      <c r="N27" s="27">
        <f>SUM(N20:N26)</f>
        <v>38.5</v>
      </c>
      <c r="O27" s="35"/>
      <c r="Q27" s="7"/>
    </row>
    <row r="28" spans="1:17" x14ac:dyDescent="0.2">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78</v>
      </c>
      <c r="K28" s="39">
        <v>30</v>
      </c>
      <c r="L28" s="39"/>
      <c r="O28" s="35"/>
      <c r="Q28" s="7"/>
    </row>
    <row r="29" spans="1:17" x14ac:dyDescent="0.2">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78</v>
      </c>
      <c r="K29" s="39">
        <v>30</v>
      </c>
      <c r="L29" s="39"/>
      <c r="O29" s="35"/>
      <c r="Q29" s="7"/>
    </row>
    <row r="30" spans="1:17" x14ac:dyDescent="0.2">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78</v>
      </c>
      <c r="K30" s="39">
        <v>30</v>
      </c>
      <c r="L30" s="39"/>
      <c r="M30" s="43" t="s">
        <v>79</v>
      </c>
      <c r="N30" s="2" t="s">
        <v>80</v>
      </c>
      <c r="O30" s="44">
        <f>2020+1785+3520+3010+1520</f>
        <v>11855</v>
      </c>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570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25" priority="9">
      <formula>$C5="Feiertag"</formula>
    </cfRule>
    <cfRule type="expression" dxfId="24" priority="10">
      <formula>WEEKDAY($A5,2)&gt;=6</formula>
    </cfRule>
  </conditionalFormatting>
  <conditionalFormatting sqref="A10:I30">
    <cfRule type="expression" dxfId="23" priority="1">
      <formula>$C10="Feiertag"</formula>
    </cfRule>
    <cfRule type="expression" dxfId="22" priority="2">
      <formula>WEEKDAY($A10,2)&gt;=6</formula>
    </cfRule>
  </conditionalFormatting>
  <conditionalFormatting sqref="A2:J4 G5:J5 G6:I9 J6:J32 A31:J32">
    <cfRule type="expression" dxfId="21" priority="11">
      <formula>$C2="Feiertag"</formula>
    </cfRule>
    <cfRule type="expression" dxfId="20"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80" zoomScaleNormal="80" workbookViewId="0">
      <selection activeCell="I45" sqref="I45"/>
    </sheetView>
  </sheetViews>
  <sheetFormatPr baseColWidth="10" defaultColWidth="11.5" defaultRowHeight="15" x14ac:dyDescent="0.2"/>
  <cols>
    <col min="1" max="1" width="7" style="2" bestFit="1" customWidth="1"/>
    <col min="2" max="2" width="4" style="2" bestFit="1" customWidth="1"/>
    <col min="3" max="3" width="21.5" style="2" bestFit="1" customWidth="1"/>
    <col min="4" max="4" width="9.5" style="24" bestFit="1" customWidth="1"/>
    <col min="5" max="5" width="7" style="24" bestFit="1" customWidth="1"/>
    <col min="6" max="6" width="6.5" style="24" bestFit="1" customWidth="1"/>
    <col min="7" max="7" width="10.5" style="7" bestFit="1" customWidth="1"/>
    <col min="8" max="8" width="11.5" style="2" bestFit="1" customWidth="1"/>
    <col min="9" max="9" width="12.5" style="2" bestFit="1" customWidth="1"/>
    <col min="10" max="10" width="16.5" style="2" customWidth="1"/>
    <col min="11" max="11" width="11.5" style="2"/>
    <col min="12" max="12" width="11.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78</v>
      </c>
      <c r="K2" s="39">
        <v>30</v>
      </c>
      <c r="L2" s="39"/>
      <c r="M2" s="25"/>
      <c r="O2" s="35"/>
      <c r="Q2" s="7"/>
    </row>
    <row r="3" spans="1:17" x14ac:dyDescent="0.2">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78</v>
      </c>
      <c r="K3" s="39">
        <v>30</v>
      </c>
      <c r="L3" s="39"/>
      <c r="M3" s="46" t="str">
        <f>Gesamt!A3</f>
        <v>Mario MARGAN</v>
      </c>
      <c r="N3" s="46"/>
      <c r="O3" s="35"/>
      <c r="Q3" s="7"/>
    </row>
    <row r="4" spans="1:17" x14ac:dyDescent="0.2">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78</v>
      </c>
      <c r="K4" s="39">
        <v>30</v>
      </c>
      <c r="L4" s="39"/>
      <c r="O4" s="35"/>
      <c r="Q4" s="7"/>
    </row>
    <row r="5" spans="1:17" x14ac:dyDescent="0.2">
      <c r="A5" s="29">
        <v>46177</v>
      </c>
      <c r="B5" t="str">
        <f t="shared" si="0"/>
        <v>Do</v>
      </c>
      <c r="C5" s="2" t="s">
        <v>65</v>
      </c>
      <c r="G5" s="27">
        <f t="shared" si="1"/>
        <v>0</v>
      </c>
      <c r="H5" s="27">
        <f ca="1">IF(Q5&lt;&gt;"",Q5,IF(OR(C5="Feiertag",A5&lt;Gesamt!$B$11,A5&gt;Gesamt!$B$13,),0,INDIRECT("N"&amp;WEEKDAY(A5,2)+19)))</f>
        <v>0</v>
      </c>
      <c r="I5" s="27">
        <f t="shared" si="2"/>
        <v>0</v>
      </c>
      <c r="J5" s="7" t="s">
        <v>78</v>
      </c>
      <c r="K5" s="39">
        <v>30</v>
      </c>
      <c r="L5" s="39"/>
      <c r="M5" s="1" t="s">
        <v>8</v>
      </c>
      <c r="N5" s="27">
        <f ca="1">SUM(I2:I32)</f>
        <v>-3.0198066269804258E-14</v>
      </c>
      <c r="O5" s="35"/>
      <c r="Q5" s="7"/>
    </row>
    <row r="6" spans="1:17" x14ac:dyDescent="0.2">
      <c r="A6" s="29">
        <v>46178</v>
      </c>
      <c r="B6" t="str">
        <f t="shared" si="0"/>
        <v>Fr</v>
      </c>
      <c r="D6" s="24">
        <v>0.29166666666666669</v>
      </c>
      <c r="E6" s="24">
        <v>0.5625</v>
      </c>
      <c r="G6" s="27">
        <f t="shared" si="1"/>
        <v>6.5</v>
      </c>
      <c r="H6" s="27">
        <f ca="1">IF(Q6&lt;&gt;"",Q6,IF(OR(C6="Feiertag",A6&lt;Gesamt!$B$11,A6&gt;Gesamt!$B$13,),0,INDIRECT("N"&amp;WEEKDAY(A6,2)+19)))</f>
        <v>6.5</v>
      </c>
      <c r="I6" s="27">
        <f t="shared" ca="1" si="2"/>
        <v>0</v>
      </c>
      <c r="J6" s="7" t="s">
        <v>78</v>
      </c>
      <c r="K6" s="39">
        <v>30</v>
      </c>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t="s">
        <v>78</v>
      </c>
      <c r="K7" s="39">
        <v>30</v>
      </c>
      <c r="L7" s="39"/>
      <c r="M7" s="1" t="s">
        <v>59</v>
      </c>
      <c r="N7" s="27">
        <f ca="1">Gesamt!B9+SUM(Gesamt!E2:E7)-SUM(Gesamt!J2:J7)</f>
        <v>-1.5631940186722204E-13</v>
      </c>
      <c r="O7" s="35"/>
      <c r="Q7" s="7"/>
    </row>
    <row r="8" spans="1:17" x14ac:dyDescent="0.2">
      <c r="A8" s="29">
        <v>46180</v>
      </c>
      <c r="B8" t="str">
        <f t="shared" si="0"/>
        <v>So</v>
      </c>
      <c r="G8" s="27">
        <f t="shared" si="1"/>
        <v>0</v>
      </c>
      <c r="H8" s="27">
        <f ca="1">IF(Q8&lt;&gt;"",Q8,IF(OR(C8="Feiertag",A8&lt;Gesamt!$B$11,A8&gt;Gesamt!$B$13,),0,INDIRECT("N"&amp;WEEKDAY(A8,2)+19)))</f>
        <v>0</v>
      </c>
      <c r="I8" s="27">
        <f t="shared" si="2"/>
        <v>0</v>
      </c>
      <c r="J8" s="7" t="s">
        <v>78</v>
      </c>
      <c r="K8" s="39">
        <v>30</v>
      </c>
      <c r="L8" s="39"/>
      <c r="M8" s="25"/>
      <c r="O8" s="35"/>
      <c r="Q8" s="7"/>
    </row>
    <row r="9" spans="1:17" x14ac:dyDescent="0.2">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78</v>
      </c>
      <c r="K9" s="39">
        <v>30</v>
      </c>
      <c r="L9" s="39"/>
      <c r="M9" s="1" t="s">
        <v>25</v>
      </c>
      <c r="N9">
        <f>COUNTIF(C2:C32,"krank")</f>
        <v>0</v>
      </c>
      <c r="O9" s="35"/>
      <c r="Q9" s="7"/>
    </row>
    <row r="10" spans="1:17" x14ac:dyDescent="0.2">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78</v>
      </c>
      <c r="K10" s="39">
        <v>30</v>
      </c>
      <c r="L10" s="39"/>
      <c r="M10" s="25"/>
      <c r="O10" s="35"/>
      <c r="Q10" s="7"/>
    </row>
    <row r="11" spans="1:17" x14ac:dyDescent="0.2">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78</v>
      </c>
      <c r="K11" s="39">
        <v>30</v>
      </c>
      <c r="L11" s="39"/>
      <c r="M11" s="1" t="s">
        <v>57</v>
      </c>
      <c r="N11" s="28">
        <f>SUM(Gesamt!F2:F7)</f>
        <v>0</v>
      </c>
      <c r="O11" s="35"/>
      <c r="Q11" s="7"/>
    </row>
    <row r="12" spans="1:17" x14ac:dyDescent="0.2">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78</v>
      </c>
      <c r="K12" s="39">
        <v>30</v>
      </c>
      <c r="L12" s="39"/>
      <c r="M12" s="25"/>
      <c r="O12" s="35"/>
      <c r="Q12" s="7"/>
    </row>
    <row r="13" spans="1:17" x14ac:dyDescent="0.2">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78</v>
      </c>
      <c r="K13" s="39">
        <v>30</v>
      </c>
      <c r="L13" s="39"/>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t="s">
        <v>78</v>
      </c>
      <c r="K14" s="39">
        <v>30</v>
      </c>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t="s">
        <v>78</v>
      </c>
      <c r="K15" s="39">
        <v>30</v>
      </c>
      <c r="L15" s="39"/>
      <c r="M15" s="1" t="s">
        <v>58</v>
      </c>
      <c r="N15">
        <f>Gesamt!B5+Gesamt!B7-SUM(Gesamt!G2:G7)</f>
        <v>3.0192307692307701</v>
      </c>
      <c r="O15" s="35"/>
      <c r="Q15" s="7"/>
    </row>
    <row r="16" spans="1:17" x14ac:dyDescent="0.2">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78</v>
      </c>
      <c r="K16" s="39">
        <v>30</v>
      </c>
      <c r="L16" s="39"/>
      <c r="O16" s="35"/>
      <c r="Q16" s="7"/>
    </row>
    <row r="17" spans="1:17" x14ac:dyDescent="0.2">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78</v>
      </c>
      <c r="K17" s="39">
        <v>30</v>
      </c>
      <c r="L17" s="39"/>
      <c r="M17" s="1" t="s">
        <v>50</v>
      </c>
      <c r="N17" s="27">
        <f>SUM(G2:G32)</f>
        <v>162</v>
      </c>
      <c r="O17" s="35"/>
      <c r="Q17" s="7"/>
    </row>
    <row r="18" spans="1:17" x14ac:dyDescent="0.2">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78</v>
      </c>
      <c r="K18" s="39">
        <v>30</v>
      </c>
      <c r="L18" s="39"/>
      <c r="O18" s="35"/>
      <c r="Q18" s="7"/>
    </row>
    <row r="19" spans="1:17" x14ac:dyDescent="0.2">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78</v>
      </c>
      <c r="K19" s="39">
        <v>30</v>
      </c>
      <c r="L19" s="39"/>
      <c r="M19" s="13" t="s">
        <v>6</v>
      </c>
      <c r="O19" s="35"/>
      <c r="Q19" s="7"/>
    </row>
    <row r="20" spans="1:17" x14ac:dyDescent="0.2">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t="s">
        <v>78</v>
      </c>
      <c r="K20" s="39">
        <v>30</v>
      </c>
      <c r="L20" s="39"/>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t="s">
        <v>78</v>
      </c>
      <c r="K21" s="39">
        <v>30</v>
      </c>
      <c r="L21" s="39"/>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t="s">
        <v>78</v>
      </c>
      <c r="K22" s="39">
        <v>30</v>
      </c>
      <c r="L22" s="39"/>
      <c r="M22" s="6" t="s">
        <v>45</v>
      </c>
      <c r="N22" s="7">
        <f>Gesamt!C32</f>
        <v>8</v>
      </c>
      <c r="O22" s="35"/>
      <c r="Q22" s="7"/>
    </row>
    <row r="23" spans="1:17" x14ac:dyDescent="0.2">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78</v>
      </c>
      <c r="K23" s="39">
        <v>30</v>
      </c>
      <c r="L23" s="39"/>
      <c r="M23" s="6" t="s">
        <v>46</v>
      </c>
      <c r="N23" s="7">
        <f>Gesamt!C33</f>
        <v>8</v>
      </c>
      <c r="O23" s="35"/>
      <c r="Q23" s="7"/>
    </row>
    <row r="24" spans="1:17" x14ac:dyDescent="0.2">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78</v>
      </c>
      <c r="K24" s="39">
        <v>30</v>
      </c>
      <c r="L24" s="39"/>
      <c r="M24" s="6" t="s">
        <v>47</v>
      </c>
      <c r="N24" s="7">
        <f>Gesamt!C34</f>
        <v>6.5</v>
      </c>
      <c r="O24" s="35"/>
      <c r="Q24" s="7"/>
    </row>
    <row r="25" spans="1:17" x14ac:dyDescent="0.2">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78</v>
      </c>
      <c r="K25" s="39">
        <v>30</v>
      </c>
      <c r="L25" s="39"/>
      <c r="M25" s="6" t="s">
        <v>48</v>
      </c>
      <c r="N25" s="7">
        <f>Gesamt!C35</f>
        <v>0</v>
      </c>
      <c r="O25" s="35"/>
      <c r="Q25" s="7"/>
    </row>
    <row r="26" spans="1:17" x14ac:dyDescent="0.2">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78</v>
      </c>
      <c r="K26" s="39">
        <v>30</v>
      </c>
      <c r="L26" s="39"/>
      <c r="M26" s="6" t="s">
        <v>49</v>
      </c>
      <c r="N26" s="7">
        <f>Gesamt!C36</f>
        <v>0</v>
      </c>
      <c r="O26" s="35"/>
      <c r="Q26" s="7"/>
    </row>
    <row r="27" spans="1:17" x14ac:dyDescent="0.2">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t="s">
        <v>78</v>
      </c>
      <c r="K27" s="39">
        <v>30</v>
      </c>
      <c r="L27" s="39"/>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t="s">
        <v>78</v>
      </c>
      <c r="K28" s="39">
        <v>30</v>
      </c>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t="s">
        <v>78</v>
      </c>
      <c r="K29" s="39">
        <v>30</v>
      </c>
      <c r="L29" s="39"/>
      <c r="M29" s="45" t="s">
        <v>73</v>
      </c>
      <c r="O29" s="35"/>
      <c r="Q29" s="7"/>
    </row>
    <row r="30" spans="1:17" x14ac:dyDescent="0.2">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78</v>
      </c>
      <c r="K30" s="39">
        <v>30</v>
      </c>
      <c r="L30" s="39"/>
      <c r="M30" s="45" t="s">
        <v>81</v>
      </c>
      <c r="O30" s="35"/>
      <c r="Q30" s="7"/>
    </row>
    <row r="31" spans="1:17" x14ac:dyDescent="0.2">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78</v>
      </c>
      <c r="K31" s="39">
        <v>30</v>
      </c>
      <c r="L31" s="39"/>
      <c r="O31" s="35"/>
      <c r="Q31" s="7"/>
    </row>
    <row r="32" spans="1:17" x14ac:dyDescent="0.2">
      <c r="A32" s="23"/>
      <c r="H32" s="7"/>
      <c r="I32" s="7"/>
      <c r="J32" s="7"/>
      <c r="K32" s="39"/>
      <c r="L32" s="39"/>
      <c r="Q32" s="7"/>
    </row>
    <row r="33" spans="10:12" x14ac:dyDescent="0.2">
      <c r="J33" s="2" t="s">
        <v>68</v>
      </c>
      <c r="K33" s="39">
        <f>SUM(K2:K32)</f>
        <v>900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C4 J3:J31">
    <cfRule type="expression" dxfId="19" priority="15">
      <formula>$C2="Feiertag"</formula>
    </cfRule>
    <cfRule type="expression" dxfId="18" priority="18">
      <formula>WEEKDAY($A2,2)&gt;=6</formula>
    </cfRule>
  </conditionalFormatting>
  <conditionalFormatting sqref="A5:I31">
    <cfRule type="expression" dxfId="17" priority="1">
      <formula>$C5="Feiertag"</formula>
    </cfRule>
    <cfRule type="expression" dxfId="16" priority="2">
      <formula>WEEKDAY($A5,2)&gt;=6</formula>
    </cfRule>
  </conditionalFormatting>
  <conditionalFormatting sqref="D3:I4">
    <cfRule type="expression" dxfId="15" priority="3">
      <formula>$C3="Feiertag"</formula>
    </cfRule>
    <cfRule type="expression" dxfId="14" priority="4">
      <formula>WEEKDAY($A3,2)&gt;=6</formula>
    </cfRule>
  </conditionalFormatting>
  <conditionalFormatting sqref="D2:J2">
    <cfRule type="expression" dxfId="13" priority="5">
      <formula>$C2="Feiertag"</formula>
    </cfRule>
    <cfRule type="expression" dxfId="12" priority="6">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tabSelected="1" zoomScaleNormal="100" workbookViewId="0">
      <selection activeCell="M34" sqref="M34"/>
    </sheetView>
  </sheetViews>
  <sheetFormatPr baseColWidth="10" defaultColWidth="11.5" defaultRowHeight="15" x14ac:dyDescent="0.2"/>
  <cols>
    <col min="1" max="1" width="6.83203125" style="2" bestFit="1" customWidth="1"/>
    <col min="2" max="2" width="4" style="2" bestFit="1" customWidth="1"/>
    <col min="3" max="3" width="21.5" style="2" bestFit="1" customWidth="1"/>
    <col min="4" max="4" width="9.5" style="24" bestFit="1" customWidth="1"/>
    <col min="5" max="5" width="7" style="24" bestFit="1" customWidth="1"/>
    <col min="6" max="6" width="6.5" style="24" bestFit="1" customWidth="1"/>
    <col min="7" max="7" width="10.5" style="7" bestFit="1" customWidth="1"/>
    <col min="8" max="8" width="11.5" style="2" bestFit="1" customWidth="1"/>
    <col min="9" max="9" width="12.5" style="2" bestFit="1" customWidth="1"/>
    <col min="10" max="10" width="16.5" style="2" customWidth="1"/>
    <col min="11" max="11" width="11.5" style="2"/>
    <col min="12" max="12" width="11.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C2" s="2" t="s">
        <v>22</v>
      </c>
      <c r="G2" s="27">
        <f ca="1">IF(OR(C2="krank",C2="Urlaub",C2="Sonderurlaub"), H2,IF(D2&lt;=E2,(E2-D2-F2)*24,(1-D2+E2-F2)*24)+IF(C2= "Urlaub halber Tag",H2/2,0)+IF(AND(C2="Urlaub halber Tag", J2="halber Arbeitstag"),H2/2,0))</f>
        <v>8</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46205</v>
      </c>
      <c r="B3" t="str">
        <f t="shared" ref="B3:B32" si="0">TEXT(A3,"TTT")</f>
        <v>Do</v>
      </c>
      <c r="C3" s="2" t="s">
        <v>22</v>
      </c>
      <c r="G3" s="27">
        <f t="shared" ref="G3:G32" ca="1" si="1">IF(OR(C3="krank",C3="Urlaub",C3="Sonderurlaub"), H3,IF(D3&lt;=E3,(E3-D3-F3)*24,(1-D3+E3-F3)*24)+IF(C3= "Urlaub halber Tag",H3/2,0)+IF(AND(C3="Urlaub halber Tag", J3="halber Arbeitstag"),H3/2,0))</f>
        <v>8</v>
      </c>
      <c r="H3" s="27">
        <f ca="1">IF(Q3&lt;&gt;"",Q3,IF(OR(C3="Feiertag",A3&lt;Gesamt!$B$11,A3&gt;Gesamt!$B$13,),0,INDIRECT("N"&amp;WEEKDAY(A3,2)+19)))</f>
        <v>8</v>
      </c>
      <c r="I3" s="27">
        <f t="shared" ref="I3:I32" si="2">IF(OR(C3="Überstundenabbau",C3="Urlaub halber Tag",E3&lt;&gt;""),G3-H3,0)</f>
        <v>0</v>
      </c>
      <c r="J3" s="7"/>
      <c r="K3" s="39"/>
      <c r="L3" s="39"/>
      <c r="M3" s="46" t="str">
        <f>Gesamt!A3</f>
        <v>Mario MARGAN</v>
      </c>
      <c r="N3" s="46"/>
      <c r="O3" s="35"/>
      <c r="Q3" s="7"/>
    </row>
    <row r="4" spans="1:17" x14ac:dyDescent="0.2">
      <c r="A4" s="29">
        <v>46206</v>
      </c>
      <c r="B4" t="str">
        <f t="shared" si="0"/>
        <v>Fr</v>
      </c>
      <c r="C4" s="2" t="s">
        <v>22</v>
      </c>
      <c r="G4" s="27">
        <f t="shared" ca="1" si="1"/>
        <v>6.5</v>
      </c>
      <c r="H4" s="27">
        <f ca="1">IF(Q4&lt;&gt;"",Q4,IF(OR(C4="Feiertag",A4&lt;Gesamt!$B$11,A4&gt;Gesamt!$B$13,),0,INDIRECT("N"&amp;WEEKDAY(A4,2)+19)))</f>
        <v>6.5</v>
      </c>
      <c r="I4" s="27">
        <f t="shared" si="2"/>
        <v>0</v>
      </c>
      <c r="J4" s="7"/>
      <c r="K4" s="39"/>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G7" s="27">
        <f t="shared" si="1"/>
        <v>0</v>
      </c>
      <c r="H7" s="27">
        <f ca="1">IF(Q7&lt;&gt;"",Q7,IF(OR(C7="Feiertag",A7&lt;Gesamt!$B$11,A7&gt;Gesamt!$B$13,),0,INDIRECT("N"&amp;WEEKDAY(A7,2)+19)))</f>
        <v>0</v>
      </c>
      <c r="I7" s="27">
        <f t="shared" si="2"/>
        <v>0</v>
      </c>
      <c r="J7" s="7"/>
      <c r="K7" s="39"/>
      <c r="L7" s="39"/>
      <c r="M7" s="1" t="s">
        <v>59</v>
      </c>
      <c r="N7" s="27">
        <f ca="1">Gesamt!B9+SUM(Gesamt!E2:E8)-SUM(Gesamt!J2:J8)</f>
        <v>-1.5631940186722204E-13</v>
      </c>
      <c r="O7" s="35"/>
      <c r="Q7" s="7"/>
    </row>
    <row r="8" spans="1:17" x14ac:dyDescent="0.2">
      <c r="A8" s="29">
        <v>46210</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2">
      <c r="A9" s="29">
        <v>46211</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46212</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46213</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3</v>
      </c>
      <c r="O13" s="35"/>
      <c r="Q13" s="7"/>
    </row>
    <row r="14" spans="1:17" x14ac:dyDescent="0.2">
      <c r="A14" s="29">
        <v>46216</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46217</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Gesamt!B5+Gesamt!B7-SUM(Gesamt!G2:G8)</f>
        <v>1.9230769230770051E-2</v>
      </c>
      <c r="O15" s="35"/>
      <c r="Q15" s="7"/>
    </row>
    <row r="16" spans="1:17" x14ac:dyDescent="0.2">
      <c r="A16" s="29">
        <v>46218</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2">
      <c r="A17" s="29">
        <v>46219</v>
      </c>
      <c r="B17" t="str">
        <f t="shared" si="0"/>
        <v>Do</v>
      </c>
      <c r="G17" s="27">
        <f t="shared" si="1"/>
        <v>0</v>
      </c>
      <c r="H17" s="27">
        <f ca="1">IF(Q17&lt;&gt;"",Q17,IF(OR(C17="Feiertag",A17&lt;Gesamt!$B$11,A17&gt;Gesamt!$B$13,),0,INDIRECT("N"&amp;WEEKDAY(A17,2)+19)))</f>
        <v>0</v>
      </c>
      <c r="I17" s="27">
        <f t="shared" si="2"/>
        <v>0</v>
      </c>
      <c r="J17" s="7"/>
      <c r="K17" s="39"/>
      <c r="L17" s="39"/>
      <c r="M17" s="1" t="s">
        <v>50</v>
      </c>
      <c r="N17" s="27">
        <f ca="1">SUM(G2:G32)</f>
        <v>22.5</v>
      </c>
      <c r="O17" s="35"/>
      <c r="Q17" s="7"/>
    </row>
    <row r="18" spans="1:17" x14ac:dyDescent="0.2">
      <c r="A18" s="29">
        <v>46220</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46223</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46224</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46225</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46226</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46227</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46230</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2">
      <c r="A29" s="29">
        <v>46231</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2">
      <c r="A30" s="29">
        <v>46232</v>
      </c>
      <c r="B30" t="str">
        <f t="shared" si="0"/>
        <v>Mi</v>
      </c>
      <c r="G30" s="27">
        <f t="shared" si="1"/>
        <v>0</v>
      </c>
      <c r="H30" s="27">
        <f ca="1">IF(Q30&lt;&gt;"",Q30,IF(OR(C30="Feiertag",A30&lt;Gesamt!$B$11,A30&gt;Gesamt!$B$13,),0,INDIRECT("N"&amp;WEEKDAY(A30,2)+19)))</f>
        <v>0</v>
      </c>
      <c r="I30" s="27">
        <f t="shared" si="2"/>
        <v>0</v>
      </c>
      <c r="J30" s="7"/>
      <c r="K30" s="39"/>
      <c r="L30" s="39"/>
      <c r="M30" s="2" t="s">
        <v>82</v>
      </c>
      <c r="O30" s="35"/>
      <c r="Q30" s="7"/>
    </row>
    <row r="31" spans="1:17" x14ac:dyDescent="0.2">
      <c r="A31" s="29">
        <v>46233</v>
      </c>
      <c r="B31" t="str">
        <f t="shared" si="0"/>
        <v>Do</v>
      </c>
      <c r="G31" s="27">
        <f t="shared" si="1"/>
        <v>0</v>
      </c>
      <c r="H31" s="27">
        <f ca="1">IF(Q31&lt;&gt;"",Q31,IF(OR(C31="Feiertag",A31&lt;Gesamt!$B$11,A31&gt;Gesamt!$B$13,),0,INDIRECT("N"&amp;WEEKDAY(A31,2)+19)))</f>
        <v>0</v>
      </c>
      <c r="I31" s="27">
        <f t="shared" si="2"/>
        <v>0</v>
      </c>
      <c r="J31" s="7"/>
      <c r="K31" s="39"/>
      <c r="L31" s="39"/>
      <c r="M31" s="2" t="s">
        <v>83</v>
      </c>
      <c r="O31" s="35"/>
      <c r="Q31" s="7"/>
    </row>
    <row r="32" spans="1:17" x14ac:dyDescent="0.2">
      <c r="A32" s="29">
        <v>46234</v>
      </c>
      <c r="B32" t="str">
        <f t="shared" si="0"/>
        <v>Fr</v>
      </c>
      <c r="G32" s="27">
        <f t="shared" si="1"/>
        <v>0</v>
      </c>
      <c r="H32" s="27">
        <f ca="1">IF(Q32&lt;&gt;"",Q32,IF(OR(C32="Feiertag",A32&lt;Gesamt!$B$11,A32&gt;Gesamt!$B$13,),0,INDIRECT("N"&amp;WEEKDAY(A32,2)+19)))</f>
        <v>0</v>
      </c>
      <c r="I32" s="27">
        <f t="shared" si="2"/>
        <v>0</v>
      </c>
      <c r="J32" s="7"/>
      <c r="K32" s="39"/>
      <c r="L32" s="39"/>
      <c r="M32" s="2" t="s">
        <v>84</v>
      </c>
      <c r="O32" s="35"/>
      <c r="Q32" s="7"/>
    </row>
    <row r="33" spans="10:12" x14ac:dyDescent="0.2">
      <c r="K33" s="39"/>
      <c r="L33" s="39"/>
    </row>
    <row r="34" spans="10:12" x14ac:dyDescent="0.2">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5" style="2" bestFit="1" customWidth="1"/>
    <col min="4" max="4" width="9.5" style="24" bestFit="1" customWidth="1"/>
    <col min="5" max="5" width="7" style="24" bestFit="1" customWidth="1"/>
    <col min="6" max="6" width="6.5" style="24" bestFit="1" customWidth="1"/>
    <col min="7" max="7" width="10.5" style="7" bestFit="1" customWidth="1"/>
    <col min="8" max="8" width="11.5" style="2" bestFit="1" customWidth="1"/>
    <col min="9" max="9" width="12.5" style="2" bestFit="1" customWidth="1"/>
    <col min="10" max="10" width="16.5" style="2" customWidth="1"/>
    <col min="11" max="11" width="11.5" style="2"/>
    <col min="12" max="12" width="11.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Mario MARGAN</v>
      </c>
      <c r="N3" s="46"/>
      <c r="O3" s="35"/>
      <c r="Q3" s="7"/>
    </row>
    <row r="4" spans="1:17" x14ac:dyDescent="0.2">
      <c r="A4" s="29">
        <v>46237</v>
      </c>
      <c r="B4" t="str">
        <f t="shared" si="0"/>
        <v>Mo</v>
      </c>
      <c r="G4" s="27">
        <f t="shared" si="1"/>
        <v>0</v>
      </c>
      <c r="H4" s="27">
        <f ca="1">IF(Q4&lt;&gt;"",Q4,IF(OR(C4="Feiertag",A4&lt;Gesamt!$B$11,A4&gt;Gesamt!$B$13,),0,INDIRECT("N"&amp;WEEKDAY(A4,2)+19)))</f>
        <v>0</v>
      </c>
      <c r="I4" s="27">
        <f t="shared" si="2"/>
        <v>0</v>
      </c>
      <c r="J4" s="7"/>
      <c r="K4" s="39"/>
      <c r="L4" s="39"/>
      <c r="O4" s="35"/>
      <c r="Q4" s="7"/>
    </row>
    <row r="5" spans="1:17" x14ac:dyDescent="0.2">
      <c r="A5" s="29">
        <v>46238</v>
      </c>
      <c r="B5" t="str">
        <f t="shared" si="0"/>
        <v>Di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46239</v>
      </c>
      <c r="B6" t="str">
        <f t="shared" si="0"/>
        <v>Mi</v>
      </c>
      <c r="G6" s="27">
        <f t="shared" si="1"/>
        <v>0</v>
      </c>
      <c r="H6" s="27">
        <f ca="1">IF(Q6&lt;&gt;"",Q6,IF(OR(C6="Feiertag",A6&lt;Gesamt!$B$11,A6&gt;Gesamt!$B$13,),0,INDIRECT("N"&amp;WEEKDAY(A6,2)+19)))</f>
        <v>0</v>
      </c>
      <c r="I6" s="27">
        <f t="shared" si="2"/>
        <v>0</v>
      </c>
      <c r="J6" s="7"/>
      <c r="K6" s="39"/>
      <c r="L6" s="39"/>
      <c r="M6" s="25"/>
      <c r="O6" s="35"/>
      <c r="Q6" s="7"/>
    </row>
    <row r="7" spans="1:17" x14ac:dyDescent="0.2">
      <c r="A7" s="29">
        <v>46240</v>
      </c>
      <c r="B7" t="str">
        <f t="shared" si="0"/>
        <v>Do</v>
      </c>
      <c r="G7" s="27">
        <f t="shared" si="1"/>
        <v>0</v>
      </c>
      <c r="H7" s="27">
        <f ca="1">IF(Q7&lt;&gt;"",Q7,IF(OR(C7="Feiertag",A7&lt;Gesamt!$B$11,A7&gt;Gesamt!$B$13,),0,INDIRECT("N"&amp;WEEKDAY(A7,2)+19)))</f>
        <v>0</v>
      </c>
      <c r="I7" s="27">
        <f t="shared" si="2"/>
        <v>0</v>
      </c>
      <c r="J7" s="7"/>
      <c r="K7" s="39"/>
      <c r="L7" s="39"/>
      <c r="M7" s="1" t="s">
        <v>59</v>
      </c>
      <c r="N7" s="27">
        <f ca="1">Gesamt!B9+SUM(Gesamt!E2:E9)-SUM(Gesamt!J2:J9)</f>
        <v>-1.5631940186722204E-13</v>
      </c>
      <c r="O7" s="35"/>
      <c r="Q7" s="7"/>
    </row>
    <row r="8" spans="1:17" x14ac:dyDescent="0.2">
      <c r="A8" s="29">
        <v>46241</v>
      </c>
      <c r="B8" t="str">
        <f t="shared" si="0"/>
        <v>Fr</v>
      </c>
      <c r="G8" s="27">
        <f t="shared" si="1"/>
        <v>0</v>
      </c>
      <c r="H8" s="27">
        <f ca="1">IF(Q8&lt;&gt;"",Q8,IF(OR(C8="Feiertag",A8&lt;Gesamt!$B$11,A8&gt;Gesamt!$B$13,),0,INDIRECT("N"&amp;WEEKDAY(A8,2)+19)))</f>
        <v>0</v>
      </c>
      <c r="I8" s="27">
        <f t="shared" si="2"/>
        <v>0</v>
      </c>
      <c r="J8" s="7"/>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46244</v>
      </c>
      <c r="B11" t="str">
        <f t="shared" si="0"/>
        <v>Mo</v>
      </c>
      <c r="G11" s="27">
        <f t="shared" si="1"/>
        <v>0</v>
      </c>
      <c r="H11" s="27">
        <f ca="1">IF(Q11&lt;&gt;"",Q11,IF(OR(C11="Feiertag",A11&lt;Gesamt!$B$11,A11&gt;Gesamt!$B$13,),0,INDIRECT("N"&amp;WEEKDAY(A11,2)+19)))</f>
        <v>0</v>
      </c>
      <c r="I11" s="27">
        <f t="shared" si="2"/>
        <v>0</v>
      </c>
      <c r="J11" s="7"/>
      <c r="K11" s="39"/>
      <c r="L11" s="39"/>
      <c r="M11" s="1" t="s">
        <v>57</v>
      </c>
      <c r="N11" s="28">
        <f>SUM(Gesamt!F2:F9)</f>
        <v>0</v>
      </c>
      <c r="O11" s="35"/>
      <c r="Q11" s="7"/>
    </row>
    <row r="12" spans="1:17" x14ac:dyDescent="0.2">
      <c r="A12" s="29">
        <v>46245</v>
      </c>
      <c r="B12" t="str">
        <f t="shared" si="0"/>
        <v>Di</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46246</v>
      </c>
      <c r="B13" t="str">
        <f t="shared" si="0"/>
        <v>Mi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46247</v>
      </c>
      <c r="B14" t="str">
        <f t="shared" si="0"/>
        <v>Do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46248</v>
      </c>
      <c r="B15" t="str">
        <f t="shared" si="0"/>
        <v>Fr</v>
      </c>
      <c r="G15" s="27">
        <f t="shared" si="1"/>
        <v>0</v>
      </c>
      <c r="H15" s="27">
        <f ca="1">IF(Q15&lt;&gt;"",Q15,IF(OR(C15="Feiertag",A15&lt;Gesamt!$B$11,A15&gt;Gesamt!$B$13,),0,INDIRECT("N"&amp;WEEKDAY(A15,2)+19)))</f>
        <v>0</v>
      </c>
      <c r="I15" s="27">
        <f t="shared" si="2"/>
        <v>0</v>
      </c>
      <c r="J15" s="7"/>
      <c r="K15" s="39"/>
      <c r="L15" s="39"/>
      <c r="M15" s="1" t="s">
        <v>58</v>
      </c>
      <c r="N15">
        <f>Gesamt!B5+Gesamt!B7-SUM(Gesamt!G2:G9)</f>
        <v>1.9230769230770051E-2</v>
      </c>
      <c r="O15" s="35"/>
      <c r="Q15" s="7"/>
    </row>
    <row r="16" spans="1:17" x14ac:dyDescent="0.2">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46251</v>
      </c>
      <c r="B18" t="str">
        <f t="shared" si="0"/>
        <v>Mo</v>
      </c>
      <c r="G18" s="27">
        <f t="shared" si="1"/>
        <v>0</v>
      </c>
      <c r="H18" s="27">
        <f ca="1">IF(Q18&lt;&gt;"",Q18,IF(OR(C18="Feiertag",A18&lt;Gesamt!$B$11,A18&gt;Gesamt!$B$13,),0,INDIRECT("N"&amp;WEEKDAY(A18,2)+19)))</f>
        <v>0</v>
      </c>
      <c r="I18" s="27">
        <f t="shared" si="2"/>
        <v>0</v>
      </c>
      <c r="J18" s="7"/>
      <c r="K18" s="39"/>
      <c r="L18" s="39"/>
      <c r="O18" s="35"/>
      <c r="Q18" s="7"/>
    </row>
    <row r="19" spans="1:17" x14ac:dyDescent="0.2">
      <c r="A19" s="29">
        <v>46252</v>
      </c>
      <c r="B19" t="str">
        <f t="shared" si="0"/>
        <v>Di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46254</v>
      </c>
      <c r="B21" t="str">
        <f t="shared" si="0"/>
        <v>Do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46255</v>
      </c>
      <c r="B22" t="str">
        <f t="shared" si="0"/>
        <v>Fr</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46259</v>
      </c>
      <c r="B26" t="str">
        <f t="shared" si="0"/>
        <v>Di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46260</v>
      </c>
      <c r="B27" t="str">
        <f t="shared" si="0"/>
        <v>Mi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46261</v>
      </c>
      <c r="B28" t="str">
        <f t="shared" si="0"/>
        <v>Do</v>
      </c>
      <c r="G28" s="27">
        <f t="shared" si="1"/>
        <v>0</v>
      </c>
      <c r="H28" s="27">
        <f ca="1">IF(Q28&lt;&gt;"",Q28,IF(OR(C28="Feiertag",A28&lt;Gesamt!$B$11,A28&gt;Gesamt!$B$13,),0,INDIRECT("N"&amp;WEEKDAY(A28,2)+19)))</f>
        <v>0</v>
      </c>
      <c r="I28" s="27">
        <f t="shared" si="2"/>
        <v>0</v>
      </c>
      <c r="J28" s="7"/>
      <c r="K28" s="39"/>
      <c r="L28" s="39"/>
      <c r="O28" s="35"/>
      <c r="Q28" s="7"/>
    </row>
    <row r="29" spans="1:17" x14ac:dyDescent="0.2">
      <c r="A29" s="29">
        <v>46262</v>
      </c>
      <c r="B29" t="str">
        <f t="shared" si="0"/>
        <v>Fr</v>
      </c>
      <c r="G29" s="27">
        <f t="shared" si="1"/>
        <v>0</v>
      </c>
      <c r="H29" s="27">
        <f ca="1">IF(Q29&lt;&gt;"",Q29,IF(OR(C29="Feiertag",A29&lt;Gesamt!$B$11,A29&gt;Gesamt!$B$13,),0,INDIRECT("N"&amp;WEEKDAY(A29,2)+19)))</f>
        <v>0</v>
      </c>
      <c r="I29" s="27">
        <f t="shared" si="2"/>
        <v>0</v>
      </c>
      <c r="J29" s="7"/>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
      <c r="A32" s="29">
        <v>46265</v>
      </c>
      <c r="B32" t="str">
        <f t="shared" si="0"/>
        <v>Mo</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5" style="2" bestFit="1" customWidth="1"/>
    <col min="4" max="4" width="9.5" style="24" bestFit="1" customWidth="1"/>
    <col min="5" max="5" width="7" style="24" bestFit="1" customWidth="1"/>
    <col min="6" max="6" width="6.5" style="24" bestFit="1" customWidth="1"/>
    <col min="7" max="7" width="10.5" style="7" bestFit="1" customWidth="1"/>
    <col min="8" max="8" width="11.5" style="2" bestFit="1" customWidth="1"/>
    <col min="9" max="9" width="12.5" style="2" bestFit="1" customWidth="1"/>
    <col min="10" max="10" width="16.5" style="2" customWidth="1"/>
    <col min="11" max="11" width="11.5" style="2"/>
    <col min="12" max="12" width="11.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6" t="str">
        <f>Gesamt!A3</f>
        <v>Mario MARGAN</v>
      </c>
      <c r="N3" s="46"/>
      <c r="O3" s="35"/>
      <c r="Q3" s="7"/>
    </row>
    <row r="4" spans="1:17" x14ac:dyDescent="0.2">
      <c r="A4" s="29">
        <v>46268</v>
      </c>
      <c r="B4" t="str">
        <f t="shared" si="0"/>
        <v>Do</v>
      </c>
      <c r="G4" s="27">
        <f t="shared" si="1"/>
        <v>0</v>
      </c>
      <c r="H4" s="27">
        <f ca="1">IF(Q4&lt;&gt;"",Q4,IF(OR(C4="Feiertag",A4&lt;Gesamt!$B$11,A4&gt;Gesamt!$B$13,),0,INDIRECT("N"&amp;WEEKDAY(A4,2)+19)))</f>
        <v>0</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-1.5631940186722204E-13</v>
      </c>
      <c r="O7" s="35"/>
      <c r="Q7" s="7"/>
    </row>
    <row r="8" spans="1:17" x14ac:dyDescent="0.2">
      <c r="A8" s="29">
        <v>46272</v>
      </c>
      <c r="B8" t="str">
        <f t="shared" si="0"/>
        <v>Mo</v>
      </c>
      <c r="G8" s="27">
        <f t="shared" si="1"/>
        <v>0</v>
      </c>
      <c r="H8" s="27">
        <f ca="1">IF(Q8&lt;&gt;"",Q8,IF(OR(C8="Feiertag",A8&lt;Gesamt!$B$11,A8&gt;Gesamt!$B$13,),0,INDIRECT("N"&amp;WEEKDAY(A8,2)+19)))</f>
        <v>0</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Gesamt!B5+Gesamt!B7-SUM(Gesamt!G2:G10)</f>
        <v>1.9230769230770051E-2</v>
      </c>
      <c r="O15" s="35"/>
      <c r="Q15" s="7"/>
    </row>
    <row r="16" spans="1:17" x14ac:dyDescent="0.2">
      <c r="A16" s="29">
        <v>46280</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0</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0</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0</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5" defaultRowHeight="15" x14ac:dyDescent="0.2"/>
  <cols>
    <col min="1" max="1" width="7.1640625" style="2" bestFit="1" customWidth="1"/>
    <col min="2" max="2" width="4" style="2" bestFit="1" customWidth="1"/>
    <col min="3" max="3" width="21.5" style="2" bestFit="1" customWidth="1"/>
    <col min="4" max="4" width="9.5" style="24" bestFit="1" customWidth="1"/>
    <col min="5" max="5" width="7" style="24" bestFit="1" customWidth="1"/>
    <col min="6" max="6" width="6.5" style="24" bestFit="1" customWidth="1"/>
    <col min="7" max="7" width="10.5" style="7" bestFit="1" customWidth="1"/>
    <col min="8" max="8" width="11.5" style="2" bestFit="1" customWidth="1"/>
    <col min="9" max="9" width="12.5" style="2" bestFit="1" customWidth="1"/>
    <col min="10" max="10" width="16.5" style="2" customWidth="1"/>
    <col min="11" max="11" width="11.5" style="2"/>
    <col min="12" max="12" width="11.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Mario MARGAN</v>
      </c>
      <c r="N3" s="46"/>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0</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0</v>
      </c>
      <c r="I7" s="27">
        <f t="shared" si="2"/>
        <v>0</v>
      </c>
      <c r="J7" s="7"/>
      <c r="K7" s="39"/>
      <c r="L7" s="39"/>
      <c r="M7" s="1" t="s">
        <v>59</v>
      </c>
      <c r="N7" s="27">
        <f ca="1">Gesamt!B9+SUM(Gesamt!E2:E11)-SUM(Gesamt!J2:J11)</f>
        <v>-1.5631940186722204E-13</v>
      </c>
      <c r="O7" s="35"/>
      <c r="Q7" s="7"/>
    </row>
    <row r="8" spans="1:17" x14ac:dyDescent="0.2">
      <c r="A8" s="29">
        <v>46302</v>
      </c>
      <c r="B8" t="str">
        <f t="shared" si="0"/>
        <v>Mi</v>
      </c>
      <c r="G8" s="27">
        <f t="shared" si="1"/>
        <v>0</v>
      </c>
      <c r="H8" s="27">
        <f ca="1">IF(Q8&lt;&gt;"",Q8,IF(OR(C8="Feiertag",A8&lt;Gesamt!$B$11,A8&gt;Gesamt!$B$13,),0,INDIRECT("N"&amp;WEEKDAY(A8,2)+19)))</f>
        <v>0</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Gesamt!B5+Gesamt!B7-SUM(Gesamt!G2:G11)</f>
        <v>1.9230769230770051E-2</v>
      </c>
      <c r="O15" s="35"/>
      <c r="Q15" s="7"/>
    </row>
    <row r="16" spans="1:17" x14ac:dyDescent="0.2">
      <c r="A16" s="29">
        <v>46310</v>
      </c>
      <c r="B16" t="str">
        <f t="shared" si="0"/>
        <v>Do</v>
      </c>
      <c r="G16" s="27">
        <f t="shared" si="1"/>
        <v>0</v>
      </c>
      <c r="H16" s="27">
        <f ca="1">IF(Q16&lt;&gt;"",Q16,IF(OR(C16="Feiertag",A16&lt;Gesamt!$B$11,A16&gt;Gesamt!$B$13,),0,INDIRECT("N"&amp;WEEKDAY(A16,2)+19)))</f>
        <v>0</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0</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topLeftCell="D1"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5" style="2" bestFit="1" customWidth="1"/>
    <col min="4" max="4" width="9.5" style="24" bestFit="1" customWidth="1"/>
    <col min="5" max="5" width="7" style="24" bestFit="1" customWidth="1"/>
    <col min="6" max="6" width="6.5" style="24" bestFit="1" customWidth="1"/>
    <col min="7" max="7" width="10.5" style="7" bestFit="1" customWidth="1"/>
    <col min="8" max="8" width="11.5" style="2" bestFit="1" customWidth="1"/>
    <col min="9" max="9" width="12.5" style="2" bestFit="1" customWidth="1"/>
    <col min="10" max="10" width="16.5" style="2" customWidth="1"/>
    <col min="11" max="11" width="11.5" style="2"/>
    <col min="12" max="12" width="11.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6" t="str">
        <f>Gesamt!A3</f>
        <v>Mario MARGAN</v>
      </c>
      <c r="N3" s="46"/>
      <c r="O3" s="35"/>
      <c r="Q3" s="7"/>
    </row>
    <row r="4" spans="1:17" x14ac:dyDescent="0.2">
      <c r="A4" s="29">
        <v>46329</v>
      </c>
      <c r="B4" t="str">
        <f t="shared" si="0"/>
        <v>Di</v>
      </c>
      <c r="G4" s="27">
        <f t="shared" si="1"/>
        <v>0</v>
      </c>
      <c r="H4" s="27">
        <f ca="1">IF(Q4&lt;&gt;"",Q4,IF(OR(C4="Feiertag",A4&lt;Gesamt!$B$11,A4&gt;Gesamt!$B$13,),0,INDIRECT("N"&amp;WEEKDAY(A4,2)+19)))</f>
        <v>0</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0</v>
      </c>
      <c r="I7" s="27">
        <f t="shared" si="2"/>
        <v>0</v>
      </c>
      <c r="J7" s="7"/>
      <c r="K7" s="39"/>
      <c r="L7" s="39"/>
      <c r="M7" s="1" t="s">
        <v>59</v>
      </c>
      <c r="N7" s="27">
        <f ca="1">Gesamt!B9+SUM(Gesamt!E2:E12)-SUM(Gesamt!J2:J12)</f>
        <v>-1.5631940186722204E-13</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1.9230769230770051E-2</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5" defaultRowHeight="15" x14ac:dyDescent="0.2"/>
  <cols>
    <col min="1" max="1" width="7.5" style="2" bestFit="1" customWidth="1"/>
    <col min="2" max="2" width="4" style="2" customWidth="1"/>
    <col min="3" max="3" width="21.5" style="2" bestFit="1" customWidth="1"/>
    <col min="4" max="4" width="9.5" style="24" bestFit="1" customWidth="1"/>
    <col min="5" max="5" width="7" style="24" bestFit="1" customWidth="1"/>
    <col min="6" max="6" width="6.5" style="24" bestFit="1" customWidth="1"/>
    <col min="7" max="7" width="10.5" style="7" bestFit="1" customWidth="1"/>
    <col min="8" max="8" width="11.5" style="2" bestFit="1" customWidth="1"/>
    <col min="9" max="9" width="12.5" style="2" bestFit="1" customWidth="1"/>
    <col min="10" max="10" width="16.5" style="2" customWidth="1"/>
    <col min="11" max="11" width="11.5" style="2"/>
    <col min="12" max="12" width="11.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Mario MARGAN</v>
      </c>
      <c r="N3" s="46"/>
      <c r="O3" s="35"/>
      <c r="Q3" s="7"/>
    </row>
    <row r="4" spans="1:17" x14ac:dyDescent="0.2">
      <c r="A4" s="29">
        <v>46359</v>
      </c>
      <c r="B4" t="str">
        <f t="shared" si="0"/>
        <v>Do</v>
      </c>
      <c r="G4" s="27">
        <f t="shared" si="1"/>
        <v>0</v>
      </c>
      <c r="H4" s="27">
        <f ca="1">IF(Q4&lt;&gt;"",Q4,IF(OR(C4="Feiertag",A4&lt;Gesamt!$B$11,A4&gt;Gesamt!$B$13,),0,INDIRECT("N"&amp;WEEKDAY(A4,2)+19)))</f>
        <v>0</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-1.5631940186722204E-13</v>
      </c>
      <c r="O7" s="35"/>
      <c r="Q7" s="7"/>
    </row>
    <row r="8" spans="1:17" x14ac:dyDescent="0.2">
      <c r="A8" s="29">
        <v>46363</v>
      </c>
      <c r="B8" t="str">
        <f t="shared" si="0"/>
        <v>Mo</v>
      </c>
      <c r="G8" s="27">
        <f t="shared" si="1"/>
        <v>0</v>
      </c>
      <c r="H8" s="27">
        <f ca="1">IF(Q8&lt;&gt;"",Q8,IF(OR(C8="Feiertag",A8&lt;Gesamt!$B$11,A8&gt;Gesamt!$B$13,),0,INDIRECT("N"&amp;WEEKDAY(A8,2)+19)))</f>
        <v>0</v>
      </c>
      <c r="I8" s="27">
        <f t="shared" si="2"/>
        <v>0</v>
      </c>
      <c r="J8" s="7"/>
      <c r="K8" s="39"/>
      <c r="L8" s="39"/>
      <c r="M8" s="25"/>
      <c r="O8" s="35"/>
      <c r="Q8" s="7"/>
    </row>
    <row r="9" spans="1:17" x14ac:dyDescent="0.2">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Gesamt!B5+Gesamt!B7-SUM(Gesamt!G2:G13)</f>
        <v>1.9230769230770051E-2</v>
      </c>
      <c r="O15" s="35"/>
      <c r="Q15" s="7"/>
    </row>
    <row r="16" spans="1:17" x14ac:dyDescent="0.2">
      <c r="A16" s="29">
        <v>46371</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0</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0</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0</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0</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D25" sqref="D25"/>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 ca="1">Januar!N5</f>
        <v>-2.1316282072803006E-14</v>
      </c>
      <c r="F2" s="8">
        <f>Januar!N9</f>
        <v>0</v>
      </c>
      <c r="G2" s="2">
        <f>Januar!N13</f>
        <v>0</v>
      </c>
      <c r="H2" s="7">
        <f>Januar!N17</f>
        <v>115.49999999999999</v>
      </c>
      <c r="I2" s="7"/>
      <c r="J2" s="7">
        <v>0</v>
      </c>
      <c r="Z2" s="2" t="b">
        <v>1</v>
      </c>
    </row>
    <row r="3" spans="1:26" ht="15" customHeight="1" x14ac:dyDescent="0.2">
      <c r="A3" s="47" t="s">
        <v>77</v>
      </c>
      <c r="B3" s="47"/>
      <c r="D3" s="6" t="s">
        <v>10</v>
      </c>
      <c r="E3" s="7">
        <f ca="1">Februar!N5</f>
        <v>-2.6645352591003757E-14</v>
      </c>
      <c r="F3" s="8">
        <f>Februar!N9</f>
        <v>0</v>
      </c>
      <c r="G3" s="2">
        <f>Februar!N13</f>
        <v>2</v>
      </c>
      <c r="H3" s="7">
        <f ca="1">Februar!N17</f>
        <v>153.99999999999997</v>
      </c>
      <c r="I3" s="7"/>
      <c r="J3" s="7">
        <v>0</v>
      </c>
      <c r="Z3" s="2" t="b">
        <v>1</v>
      </c>
    </row>
    <row r="4" spans="1:26" x14ac:dyDescent="0.2">
      <c r="D4" s="6" t="s">
        <v>11</v>
      </c>
      <c r="E4" s="7">
        <f ca="1">März!N5</f>
        <v>-2.4868995751603507E-14</v>
      </c>
      <c r="F4" s="8">
        <f>März!N9</f>
        <v>0</v>
      </c>
      <c r="G4" s="2">
        <f>März!N13</f>
        <v>5</v>
      </c>
      <c r="H4" s="7">
        <f ca="1">März!N17</f>
        <v>169.99999999999997</v>
      </c>
      <c r="I4" s="7"/>
      <c r="J4" s="7">
        <v>0</v>
      </c>
      <c r="Z4" s="2" t="b">
        <v>1</v>
      </c>
    </row>
    <row r="5" spans="1:26" x14ac:dyDescent="0.2">
      <c r="A5" s="1" t="s">
        <v>28</v>
      </c>
      <c r="B5" s="2">
        <f>25/52*25</f>
        <v>12.01923076923077</v>
      </c>
      <c r="D5" s="6" t="s">
        <v>12</v>
      </c>
      <c r="E5" s="7">
        <f ca="1">April!N5</f>
        <v>-2.8421709430404007E-14</v>
      </c>
      <c r="F5" s="8">
        <f>April!N9</f>
        <v>0</v>
      </c>
      <c r="G5" s="2">
        <f>April!N13</f>
        <v>1</v>
      </c>
      <c r="H5" s="7">
        <f ca="1">April!N17</f>
        <v>162</v>
      </c>
      <c r="I5" s="7"/>
      <c r="J5" s="7">
        <v>0</v>
      </c>
      <c r="Z5" s="2" t="b">
        <v>1</v>
      </c>
    </row>
    <row r="6" spans="1:26" x14ac:dyDescent="0.2">
      <c r="D6" s="6" t="s">
        <v>13</v>
      </c>
      <c r="E6" s="7">
        <f ca="1">Mai!N5</f>
        <v>-2.4868995751603507E-14</v>
      </c>
      <c r="F6" s="8">
        <f>Mai!N9</f>
        <v>0</v>
      </c>
      <c r="G6" s="2">
        <f>Mai!N13</f>
        <v>1</v>
      </c>
      <c r="H6" s="7">
        <f ca="1">Mai!N17</f>
        <v>138</v>
      </c>
      <c r="I6" s="7"/>
      <c r="J6" s="7">
        <v>0</v>
      </c>
      <c r="Z6" s="2" t="b">
        <v>0</v>
      </c>
    </row>
    <row r="7" spans="1:26" x14ac:dyDescent="0.2">
      <c r="A7" s="1" t="s">
        <v>30</v>
      </c>
      <c r="B7" s="2">
        <v>0</v>
      </c>
      <c r="D7" s="6" t="s">
        <v>14</v>
      </c>
      <c r="E7" s="7">
        <f ca="1">Juni!N5</f>
        <v>-3.0198066269804258E-14</v>
      </c>
      <c r="F7" s="8">
        <f>Juni!N9</f>
        <v>0</v>
      </c>
      <c r="G7" s="2">
        <f>Juni!N13</f>
        <v>0</v>
      </c>
      <c r="H7" s="7">
        <f>Juni!N17</f>
        <v>162</v>
      </c>
      <c r="I7" s="7"/>
      <c r="J7" s="7">
        <v>0</v>
      </c>
      <c r="Z7" s="2" t="b">
        <v>0</v>
      </c>
    </row>
    <row r="8" spans="1:26" x14ac:dyDescent="0.2">
      <c r="D8" s="6" t="s">
        <v>15</v>
      </c>
      <c r="E8" s="7">
        <f>Juli!N5</f>
        <v>0</v>
      </c>
      <c r="F8" s="8">
        <f>Juli!N9</f>
        <v>0</v>
      </c>
      <c r="G8" s="2">
        <f>Juli!N13</f>
        <v>3</v>
      </c>
      <c r="H8" s="7">
        <f ca="1">Juli!N17</f>
        <v>22.5</v>
      </c>
      <c r="I8" s="7"/>
      <c r="J8" s="7">
        <v>0</v>
      </c>
    </row>
    <row r="9" spans="1:26" x14ac:dyDescent="0.2">
      <c r="A9" s="1" t="s">
        <v>29</v>
      </c>
      <c r="B9" s="2">
        <v>0</v>
      </c>
      <c r="D9" s="6" t="s">
        <v>16</v>
      </c>
      <c r="E9" s="7">
        <f>August!N5</f>
        <v>0</v>
      </c>
      <c r="F9" s="8">
        <f>August!N9</f>
        <v>0</v>
      </c>
      <c r="G9" s="2">
        <f>August!N13</f>
        <v>0</v>
      </c>
      <c r="H9" s="7">
        <f>August!N17</f>
        <v>0</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46034</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46206</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-1.5631940186722204E-13</v>
      </c>
      <c r="F15" s="8">
        <f>SUM(F2:F13)</f>
        <v>0</v>
      </c>
      <c r="G15" s="2">
        <f>SUM(G2:G13)</f>
        <v>12</v>
      </c>
      <c r="H15" s="7">
        <f ca="1">SUM(H2:H13)</f>
        <v>923.99999999999989</v>
      </c>
      <c r="I15" s="7"/>
      <c r="J15" s="7">
        <f>SUM(J2:J13)</f>
        <v>0</v>
      </c>
    </row>
    <row r="16" spans="1:26" x14ac:dyDescent="0.2">
      <c r="A16" s="6" t="s">
        <v>9</v>
      </c>
      <c r="B16" s="7">
        <f>Januar!N27</f>
        <v>38.5</v>
      </c>
    </row>
    <row r="17" spans="1:7" x14ac:dyDescent="0.2">
      <c r="A17" s="6" t="s">
        <v>10</v>
      </c>
      <c r="B17" s="7">
        <f>Februar!N27</f>
        <v>38.5</v>
      </c>
      <c r="D17" s="4" t="s">
        <v>39</v>
      </c>
      <c r="E17" s="7">
        <f ca="1">SUM(E2:E13)+B9-J15</f>
        <v>-1.5631940186722204E-13</v>
      </c>
    </row>
    <row r="18" spans="1:7" x14ac:dyDescent="0.2">
      <c r="A18" s="6" t="s">
        <v>11</v>
      </c>
      <c r="B18" s="7">
        <f>März!N27</f>
        <v>38.5</v>
      </c>
      <c r="D18" s="9" t="s">
        <v>40</v>
      </c>
      <c r="G18" s="2">
        <f>B5+B7-G15</f>
        <v>1.9230769230770051E-2</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8" t="s">
        <v>55</v>
      </c>
    </row>
    <row r="24" spans="19:20" x14ac:dyDescent="0.2">
      <c r="S24" s="48"/>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2026-08-12T11:09:22Z</dcterms:modified>
</cp:coreProperties>
</file>