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Lohnverrechnung 2026\2026-08_August\"/>
    </mc:Choice>
  </mc:AlternateContent>
  <xr:revisionPtr revIDLastSave="0" documentId="13_ncr:1_{51A0B4A5-F7F8-40AB-A866-DFFF9E5694AA}" xr6:coauthVersionLast="47" xr6:coauthVersionMax="47" xr10:uidLastSave="{00000000-0000-0000-0000-000000000000}"/>
  <bookViews>
    <workbookView xWindow="10560" yWindow="25812" windowWidth="23256" windowHeight="12456" firstSheet="3" activeTab="7"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17" i="8" l="1"/>
  <c r="O17" i="7"/>
  <c r="O31" i="5"/>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6" i="9"/>
  <c r="G7" i="9"/>
  <c r="G8" i="9"/>
  <c r="G9" i="9"/>
  <c r="G10" i="9"/>
  <c r="G11" i="9"/>
  <c r="G12" i="9"/>
  <c r="G13" i="9"/>
  <c r="G14" i="9"/>
  <c r="G15" i="9"/>
  <c r="G16" i="9"/>
  <c r="G17" i="9"/>
  <c r="G18" i="9"/>
  <c r="G19" i="9"/>
  <c r="G20" i="9"/>
  <c r="G21" i="9"/>
  <c r="G22" i="9"/>
  <c r="G23" i="9"/>
  <c r="G24" i="9"/>
  <c r="G25" i="9"/>
  <c r="G26" i="9"/>
  <c r="G27" i="9"/>
  <c r="G28" i="9"/>
  <c r="G29" i="9"/>
  <c r="G30" i="9"/>
  <c r="G31" i="9"/>
  <c r="G3" i="8"/>
  <c r="G4" i="8"/>
  <c r="G5" i="8"/>
  <c r="G6" i="8"/>
  <c r="G7" i="8"/>
  <c r="G8" i="8"/>
  <c r="G9" i="8"/>
  <c r="G10" i="8"/>
  <c r="G16" i="8"/>
  <c r="G17" i="8"/>
  <c r="G23" i="8"/>
  <c r="G24" i="8"/>
  <c r="G30" i="8"/>
  <c r="G31" i="8"/>
  <c r="G2" i="8"/>
  <c r="G3" i="7"/>
  <c r="G4" i="7"/>
  <c r="G5" i="7"/>
  <c r="G6" i="7"/>
  <c r="G12" i="7"/>
  <c r="G13"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9" i="8"/>
  <c r="I10" i="8"/>
  <c r="I16" i="8"/>
  <c r="I17" i="8"/>
  <c r="I18" i="8"/>
  <c r="I19" i="8"/>
  <c r="I20" i="8"/>
  <c r="I21" i="8"/>
  <c r="I22" i="8"/>
  <c r="I23" i="8"/>
  <c r="I24" i="8"/>
  <c r="I25" i="8"/>
  <c r="I26" i="8"/>
  <c r="I27" i="8"/>
  <c r="I28" i="8"/>
  <c r="I29" i="8"/>
  <c r="I30" i="8"/>
  <c r="I31" i="8"/>
  <c r="I32" i="8"/>
  <c r="I2" i="8"/>
  <c r="I5" i="7"/>
  <c r="I6" i="7"/>
  <c r="I7" i="7"/>
  <c r="I8" i="7"/>
  <c r="I9" i="7"/>
  <c r="I10" i="7"/>
  <c r="I11" i="7"/>
  <c r="I12" i="7"/>
  <c r="I13" i="7"/>
  <c r="I14" i="7"/>
  <c r="I15" i="7"/>
  <c r="I16" i="7"/>
  <c r="I17" i="7"/>
  <c r="I18" i="7"/>
  <c r="I19" i="7"/>
  <c r="I20" i="7"/>
  <c r="I26" i="7"/>
  <c r="I27"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11"/>
  <c r="H12"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8" i="3"/>
  <c r="H7" i="3"/>
  <c r="H3" i="3"/>
  <c r="H10" i="3"/>
  <c r="H2" i="3"/>
  <c r="H6" i="3"/>
  <c r="H11" i="3"/>
  <c r="H9" i="3"/>
  <c r="H4" i="3"/>
  <c r="H13" i="3"/>
  <c r="H15" i="3"/>
  <c r="H25" i="3"/>
  <c r="H16" i="3"/>
  <c r="H21" i="3"/>
  <c r="H27" i="3"/>
  <c r="H28" i="3"/>
  <c r="H31" i="3"/>
  <c r="H23" i="3"/>
  <c r="H14" i="3"/>
  <c r="H18" i="3"/>
  <c r="H30" i="3"/>
  <c r="H17" i="3"/>
  <c r="H24" i="3"/>
  <c r="H22" i="3"/>
  <c r="H20" i="3"/>
  <c r="H29" i="3"/>
  <c r="H32" i="3"/>
  <c r="I30" i="3" l="1"/>
  <c r="I31" i="3"/>
  <c r="I17"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12" i="3"/>
  <c r="H5" i="3"/>
  <c r="H7" i="4"/>
  <c r="H26" i="12"/>
  <c r="H16" i="8"/>
  <c r="H2" i="5"/>
  <c r="H15" i="5"/>
  <c r="H5" i="6"/>
  <c r="H2" i="11"/>
  <c r="H9" i="12"/>
  <c r="H26" i="5"/>
  <c r="H27" i="10"/>
  <c r="H27" i="12"/>
  <c r="H27" i="1"/>
  <c r="H25" i="4"/>
  <c r="H9" i="7"/>
  <c r="H24" i="4"/>
  <c r="H27" i="2"/>
  <c r="H7" i="1"/>
  <c r="H28" i="6"/>
  <c r="H25" i="10"/>
  <c r="H29" i="9"/>
  <c r="H27" i="8"/>
  <c r="H23" i="8"/>
  <c r="H17" i="2"/>
  <c r="H19" i="9"/>
  <c r="H20" i="7"/>
  <c r="H3" i="11"/>
  <c r="H28" i="12"/>
  <c r="H15" i="6"/>
  <c r="H28" i="5"/>
  <c r="H20" i="5"/>
  <c r="H13" i="1"/>
  <c r="H6" i="4"/>
  <c r="H10" i="9"/>
  <c r="H11" i="10"/>
  <c r="H22" i="4"/>
  <c r="H26" i="6"/>
  <c r="H32" i="12"/>
  <c r="H5" i="5"/>
  <c r="H10" i="5"/>
  <c r="H31" i="1"/>
  <c r="H2" i="1"/>
  <c r="H7" i="12"/>
  <c r="H9" i="8"/>
  <c r="H4" i="1"/>
  <c r="H9" i="2"/>
  <c r="H30" i="1"/>
  <c r="H22" i="11"/>
  <c r="H25" i="8"/>
  <c r="H22" i="6"/>
  <c r="H6" i="2"/>
  <c r="H31" i="8"/>
  <c r="H4" i="6"/>
  <c r="H19" i="12"/>
  <c r="H27" i="5"/>
  <c r="H13" i="8"/>
  <c r="H29" i="11"/>
  <c r="H12" i="12"/>
  <c r="H20" i="2"/>
  <c r="H26" i="11"/>
  <c r="H8" i="7"/>
  <c r="H4" i="2"/>
  <c r="H6" i="9"/>
  <c r="H25" i="5"/>
  <c r="H17" i="12"/>
  <c r="H10" i="7"/>
  <c r="H21" i="10"/>
  <c r="H9" i="11"/>
  <c r="H6" i="6"/>
  <c r="H16" i="4"/>
  <c r="H23" i="1"/>
  <c r="H21" i="8"/>
  <c r="H14" i="5"/>
  <c r="H25" i="2"/>
  <c r="H18" i="11"/>
  <c r="H7" i="10"/>
  <c r="H18" i="5"/>
  <c r="H8" i="8"/>
  <c r="H14" i="2"/>
  <c r="H6" i="12"/>
  <c r="H9" i="4"/>
  <c r="H31" i="4"/>
  <c r="H14" i="4"/>
  <c r="H22" i="9"/>
  <c r="H29" i="1"/>
  <c r="H17" i="10"/>
  <c r="H10" i="10"/>
  <c r="H14" i="1"/>
  <c r="H26" i="8"/>
  <c r="H17" i="1"/>
  <c r="H30" i="4"/>
  <c r="H4" i="4"/>
  <c r="H31" i="12"/>
  <c r="H26" i="10"/>
  <c r="H5" i="10"/>
  <c r="H5" i="7"/>
  <c r="H28" i="7"/>
  <c r="H29" i="7"/>
  <c r="H20" i="8"/>
  <c r="H11" i="1"/>
  <c r="H8" i="9"/>
  <c r="H30" i="7"/>
  <c r="H17" i="8"/>
  <c r="H7" i="6"/>
  <c r="H14" i="8"/>
  <c r="H7" i="2"/>
  <c r="H15" i="9"/>
  <c r="H27" i="6"/>
  <c r="H12" i="8"/>
  <c r="H17" i="11"/>
  <c r="H15" i="12"/>
  <c r="H16" i="12"/>
  <c r="H2" i="8"/>
  <c r="H13" i="7"/>
  <c r="H21" i="12"/>
  <c r="H28" i="8"/>
  <c r="H13" i="2"/>
  <c r="H23" i="2"/>
  <c r="H21" i="9"/>
  <c r="H8" i="10"/>
  <c r="H10" i="1"/>
  <c r="H7" i="8"/>
  <c r="H10" i="8"/>
  <c r="H16" i="11"/>
  <c r="H14" i="9"/>
  <c r="H11" i="12"/>
  <c r="H13" i="12"/>
  <c r="H19" i="7"/>
  <c r="H19" i="4"/>
  <c r="H12" i="7"/>
  <c r="H24" i="7"/>
  <c r="H16" i="9"/>
  <c r="H3" i="4"/>
  <c r="H5" i="2"/>
  <c r="H31" i="9"/>
  <c r="H18" i="9"/>
  <c r="H9" i="10"/>
  <c r="H6" i="10"/>
  <c r="H12" i="6"/>
  <c r="H19" i="5"/>
  <c r="H8" i="11"/>
  <c r="H27" i="7"/>
  <c r="H25" i="1"/>
  <c r="H29" i="12"/>
  <c r="H4" i="10"/>
  <c r="H14" i="6"/>
  <c r="H3" i="5"/>
  <c r="H3" i="6"/>
  <c r="H16" i="1"/>
  <c r="H16" i="2"/>
  <c r="H31" i="6"/>
  <c r="H7" i="9"/>
  <c r="H32" i="5"/>
  <c r="H26" i="7"/>
  <c r="H11" i="7"/>
  <c r="H32" i="7"/>
  <c r="H13" i="4"/>
  <c r="H5" i="8"/>
  <c r="H22" i="5"/>
  <c r="H21" i="11"/>
  <c r="H29" i="10"/>
  <c r="H22" i="8"/>
  <c r="H20" i="12"/>
  <c r="H13" i="5"/>
  <c r="H6" i="11"/>
  <c r="H29" i="5"/>
  <c r="H15" i="1"/>
  <c r="H25" i="6"/>
  <c r="H15" i="11"/>
  <c r="H12" i="11"/>
  <c r="H11" i="11"/>
  <c r="H18" i="1"/>
  <c r="H9" i="5"/>
  <c r="H20" i="1"/>
  <c r="H4" i="11"/>
  <c r="H29" i="2"/>
  <c r="H20" i="10"/>
  <c r="H5" i="11"/>
  <c r="H13" i="10"/>
  <c r="H18" i="10"/>
  <c r="H24" i="8"/>
  <c r="H9" i="9"/>
  <c r="H27" i="4"/>
  <c r="H17" i="9"/>
  <c r="H19" i="3"/>
  <c r="H14" i="12"/>
  <c r="H23" i="12"/>
  <c r="H18" i="8"/>
  <c r="H3" i="10"/>
  <c r="H17" i="5"/>
  <c r="H30" i="12"/>
  <c r="H5" i="4"/>
  <c r="H11" i="5"/>
  <c r="H11" i="2"/>
  <c r="H4" i="12"/>
  <c r="H23" i="5"/>
  <c r="H26" i="1"/>
  <c r="H20" i="9"/>
  <c r="H25" i="9"/>
  <c r="H28" i="4"/>
  <c r="H29" i="8"/>
  <c r="H17" i="7"/>
  <c r="H24" i="6"/>
  <c r="H21" i="6"/>
  <c r="H2" i="10"/>
  <c r="H3" i="1"/>
  <c r="H30" i="10"/>
  <c r="H21" i="5"/>
  <c r="H21" i="4"/>
  <c r="H32" i="1"/>
  <c r="H21" i="7"/>
  <c r="H16" i="5"/>
  <c r="H16" i="10"/>
  <c r="H5" i="12"/>
  <c r="H22" i="2"/>
  <c r="H8" i="1"/>
  <c r="H22" i="10"/>
  <c r="H8" i="6"/>
  <c r="H3" i="7"/>
  <c r="H30" i="8"/>
  <c r="H31" i="7"/>
  <c r="H23" i="4"/>
  <c r="H5" i="1"/>
  <c r="H31" i="5"/>
  <c r="H29" i="6"/>
  <c r="H18" i="2"/>
  <c r="H29" i="4"/>
  <c r="H15" i="10"/>
  <c r="H8" i="2"/>
  <c r="H24" i="9"/>
  <c r="H15" i="4"/>
  <c r="H2" i="9"/>
  <c r="H19" i="11"/>
  <c r="H13" i="6"/>
  <c r="H3" i="2"/>
  <c r="H3" i="9"/>
  <c r="H9" i="1"/>
  <c r="H11" i="9"/>
  <c r="H4" i="7"/>
  <c r="H3" i="8"/>
  <c r="H22" i="12"/>
  <c r="H30" i="5"/>
  <c r="H28" i="9"/>
  <c r="H30" i="11"/>
  <c r="H32" i="10"/>
  <c r="H8" i="4"/>
  <c r="H18" i="12"/>
  <c r="H22" i="1"/>
  <c r="H7" i="7"/>
  <c r="H28" i="1"/>
  <c r="H26" i="3"/>
  <c r="H23" i="6"/>
  <c r="H15" i="2"/>
  <c r="H18" i="4"/>
  <c r="H6" i="5"/>
  <c r="H23" i="10"/>
  <c r="H13" i="11"/>
  <c r="H23" i="11"/>
  <c r="H6" i="1"/>
  <c r="H31" i="10"/>
  <c r="H24" i="1"/>
  <c r="H4" i="9"/>
  <c r="H24" i="5"/>
  <c r="H6" i="7"/>
  <c r="H18" i="7"/>
  <c r="H12" i="2"/>
  <c r="H2" i="12"/>
  <c r="H10" i="2"/>
  <c r="H2" i="7"/>
  <c r="H24" i="11"/>
  <c r="H17" i="6"/>
  <c r="H24" i="2"/>
  <c r="H25" i="12"/>
  <c r="H21" i="2"/>
  <c r="H11" i="8"/>
  <c r="H25" i="11"/>
  <c r="H22" i="7"/>
  <c r="H14" i="10"/>
  <c r="H8" i="12"/>
  <c r="H10" i="12"/>
  <c r="H4" i="8"/>
  <c r="H31" i="11"/>
  <c r="H6" i="8"/>
  <c r="H12" i="4"/>
  <c r="H25" i="7"/>
  <c r="H19" i="2"/>
  <c r="H4" i="5"/>
  <c r="H12" i="10"/>
  <c r="H30" i="9"/>
  <c r="H10" i="4"/>
  <c r="H2" i="4"/>
  <c r="H3" i="12"/>
  <c r="H32" i="8"/>
  <c r="H10" i="6"/>
  <c r="H12" i="9"/>
  <c r="H26" i="2"/>
  <c r="H14" i="11"/>
  <c r="H16" i="7"/>
  <c r="H7" i="11"/>
  <c r="H12" i="1"/>
  <c r="H19" i="6"/>
  <c r="H12" i="5"/>
  <c r="H2" i="2"/>
  <c r="H27" i="11"/>
  <c r="H20" i="11"/>
  <c r="H5" i="9"/>
  <c r="H20" i="4"/>
  <c r="H7" i="5"/>
  <c r="H11" i="4"/>
  <c r="H26" i="9"/>
  <c r="H28" i="2"/>
  <c r="H9" i="6"/>
  <c r="H20" i="6"/>
  <c r="H24" i="12"/>
  <c r="H23" i="9"/>
  <c r="H15" i="7"/>
  <c r="H17" i="4"/>
  <c r="H21" i="1"/>
  <c r="H15" i="8"/>
  <c r="H23" i="7"/>
  <c r="H19" i="1"/>
  <c r="H13" i="9"/>
  <c r="H8" i="5"/>
  <c r="H27" i="9"/>
  <c r="H18" i="6"/>
  <c r="H26" i="4"/>
  <c r="H28" i="10"/>
  <c r="H2" i="6"/>
  <c r="H11" i="6"/>
  <c r="H10" i="11"/>
  <c r="H16" i="6"/>
  <c r="H19" i="8"/>
  <c r="H19" i="10"/>
  <c r="H24" i="10"/>
  <c r="H30" i="6"/>
  <c r="H14" i="7"/>
  <c r="H28" i="11"/>
  <c r="G5" i="9" l="1"/>
  <c r="G4" i="9"/>
  <c r="G3" i="9"/>
  <c r="G2" i="9"/>
  <c r="G15" i="8"/>
  <c r="G14" i="8"/>
  <c r="G13" i="8"/>
  <c r="I13" i="8" s="1"/>
  <c r="G12" i="8"/>
  <c r="G11" i="8"/>
  <c r="I11" i="8" s="1"/>
  <c r="G32" i="8"/>
  <c r="G29" i="8"/>
  <c r="G28" i="8"/>
  <c r="G27" i="8"/>
  <c r="G26" i="8"/>
  <c r="G25" i="8"/>
  <c r="G22" i="8"/>
  <c r="G21" i="8"/>
  <c r="G20" i="8"/>
  <c r="G19" i="8"/>
  <c r="G18" i="8"/>
  <c r="I15" i="8"/>
  <c r="I12" i="8"/>
  <c r="I14" i="8"/>
  <c r="I7" i="8"/>
  <c r="I4" i="8"/>
  <c r="I6" i="8"/>
  <c r="I5" i="8"/>
  <c r="I8" i="8"/>
  <c r="I4" i="7"/>
  <c r="I2" i="7"/>
  <c r="I3" i="7"/>
  <c r="G11" i="7"/>
  <c r="G10" i="7"/>
  <c r="G9" i="7"/>
  <c r="G8" i="7"/>
  <c r="G7" i="7"/>
  <c r="G18" i="7"/>
  <c r="G17" i="7"/>
  <c r="G16" i="7"/>
  <c r="G15" i="7"/>
  <c r="G14" i="7"/>
  <c r="I31" i="7"/>
  <c r="I32" i="7"/>
  <c r="I30" i="7"/>
  <c r="I28" i="7"/>
  <c r="I29" i="7"/>
  <c r="I25" i="7"/>
  <c r="I21" i="7"/>
  <c r="I22" i="7"/>
  <c r="I24" i="7"/>
  <c r="I23" i="7"/>
  <c r="G20" i="6"/>
  <c r="N17" i="6" s="1"/>
  <c r="H7" i="13" s="1"/>
  <c r="I6" i="6"/>
  <c r="I4" i="6"/>
  <c r="I2" i="6"/>
  <c r="I3" i="6"/>
  <c r="I30" i="6"/>
  <c r="I31" i="6"/>
  <c r="I25" i="6"/>
  <c r="I23" i="6"/>
  <c r="I27" i="6"/>
  <c r="I26" i="6"/>
  <c r="I24" i="6"/>
  <c r="I11" i="6"/>
  <c r="I10" i="6"/>
  <c r="I9" i="6"/>
  <c r="I13" i="6"/>
  <c r="I12" i="6"/>
  <c r="I18" i="6"/>
  <c r="I17" i="6"/>
  <c r="I19" i="6"/>
  <c r="I16" i="6"/>
  <c r="I28" i="5"/>
  <c r="I30" i="5"/>
  <c r="I29" i="5"/>
  <c r="I27" i="5"/>
  <c r="I16" i="5"/>
  <c r="I14" i="5"/>
  <c r="I13" i="5"/>
  <c r="I12" i="5"/>
  <c r="I9" i="5"/>
  <c r="I7" i="5"/>
  <c r="I5" i="5"/>
  <c r="I6" i="5"/>
  <c r="I8" i="5"/>
  <c r="I20" i="5"/>
  <c r="I19" i="5"/>
  <c r="I23" i="5"/>
  <c r="I22" i="5"/>
  <c r="I21" i="5"/>
  <c r="G2" i="5"/>
  <c r="N17" i="5" s="1"/>
  <c r="H6" i="13" s="1"/>
  <c r="I4" i="4"/>
  <c r="I3" i="4"/>
  <c r="I2" i="4"/>
  <c r="I28" i="4"/>
  <c r="I30" i="4"/>
  <c r="I29" i="4"/>
  <c r="I31" i="4"/>
  <c r="I25" i="4"/>
  <c r="I21" i="4"/>
  <c r="I22" i="4"/>
  <c r="I23" i="4"/>
  <c r="I24" i="4"/>
  <c r="I17" i="4"/>
  <c r="I15" i="4"/>
  <c r="I16" i="4"/>
  <c r="I14" i="4"/>
  <c r="I18" i="4"/>
  <c r="I7" i="4"/>
  <c r="I10" i="4"/>
  <c r="I8" i="4"/>
  <c r="I11" i="4"/>
  <c r="I9" i="4"/>
  <c r="I31" i="1"/>
  <c r="I32" i="1"/>
  <c r="I26" i="1"/>
  <c r="I25" i="1"/>
  <c r="I28" i="1"/>
  <c r="I24" i="1"/>
  <c r="I27" i="1"/>
  <c r="I19" i="1"/>
  <c r="I20" i="1"/>
  <c r="I18" i="1"/>
  <c r="I17" i="1"/>
  <c r="I21" i="1"/>
  <c r="I11" i="1"/>
  <c r="I13" i="1"/>
  <c r="I14" i="1"/>
  <c r="I12" i="1"/>
  <c r="I10" i="1"/>
  <c r="I6" i="1"/>
  <c r="I3" i="1"/>
  <c r="I4" i="1"/>
  <c r="I5" i="1"/>
  <c r="I7" i="1"/>
  <c r="I28" i="2"/>
  <c r="I25" i="2"/>
  <c r="I26" i="2"/>
  <c r="I27" i="2"/>
  <c r="I24" i="2"/>
  <c r="I20" i="2"/>
  <c r="I21" i="2"/>
  <c r="I19" i="2"/>
  <c r="I17" i="2"/>
  <c r="I18" i="2"/>
  <c r="I14" i="2"/>
  <c r="I12" i="2"/>
  <c r="I11" i="2"/>
  <c r="I10" i="2"/>
  <c r="I13" i="2"/>
  <c r="I3" i="2"/>
  <c r="I7" i="2"/>
  <c r="I6" i="2"/>
  <c r="I5" i="2"/>
  <c r="I4"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N17" i="9" l="1"/>
  <c r="H10" i="13" s="1"/>
  <c r="N17" i="8"/>
  <c r="H9" i="13" s="1"/>
  <c r="N17" i="7"/>
  <c r="H8" i="13" s="1"/>
  <c r="I20" i="6"/>
  <c r="N5" i="6" s="1"/>
  <c r="E7" i="13" s="1"/>
  <c r="I32" i="3"/>
  <c r="I24" i="3"/>
  <c r="N17" i="12"/>
  <c r="H13" i="13" s="1"/>
  <c r="N5" i="12"/>
  <c r="E13" i="13" s="1"/>
  <c r="N5" i="1"/>
  <c r="E4" i="13" s="1"/>
  <c r="N5" i="8"/>
  <c r="E9" i="13" s="1"/>
  <c r="N5" i="7"/>
  <c r="E8"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<sst xmlns="http://schemas.openxmlformats.org/spreadsheetml/2006/main" count="657" uniqueCount="84">
  <si>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</si>
  <si>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</si>
  <si>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</si>
  <si>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</si>
  <si>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</si>
  <si>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</si>
  <si>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</si>
  <si>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</si>
  <si>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</si>
  <si>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</si>
  <si>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</si>
  <si>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</si>
  <si>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</si>
  <si>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</si>
  <si>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</si>
  <si>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</si>
  <si>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</si>
  <si>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</si>
  <si>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</si>
  <si>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</si>
  <si>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</si>
  <si>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</si>
  <si>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</si>
  <si>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</si>
  <si>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</si>
  <si>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</si>
  <si>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</si>
  <si>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</si>
  <si>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</si>
  <si>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</si>
  <si>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</si>
  <si>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</si>
  <si>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</si>
  <si>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</si>
  <si>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</si>
  <si>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</si>
  <si>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</si>
  <si>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</si>
  <si>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</si>
  <si>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</si>
  <si>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</si>
  <si>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</si>
  <si>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</si>
  <si>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</si>
  <si>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</si>
  <si>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</si>
  <si>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</si>
  <si>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</si>
  <si>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</si>
  <si>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</si>
  <si>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</si>
  <si>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</si>
  <si>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</si>
  <si>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</si>
  <si>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</si>
  <si>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</si>
  <si>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</si>
  <si>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</si>
  <si>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</si>
  <si>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</si>
  <si>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</si>
  <si>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</si>
  <si>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</si>
  <si>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</si>
  <si>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</si>
  <si>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</si>
  <si>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</si>
  <si>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</si>
  <si>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</si>
  <si>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</si>
  <si>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</si>
  <si>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</si>
  <si>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Gerrit Wichers</t>
  </si>
  <si>
    <t>Wien</t>
  </si>
  <si>
    <t>Vorschuß € 1010,00</t>
  </si>
  <si>
    <t>Belege € 105,10</t>
  </si>
  <si>
    <t>Wien PVA</t>
  </si>
  <si>
    <t>Schlier</t>
  </si>
  <si>
    <t>Eichstädt</t>
  </si>
  <si>
    <t>Stand 31.05.:</t>
  </si>
  <si>
    <t>Kranführerschein € 38,50</t>
  </si>
  <si>
    <t>Triftern</t>
  </si>
  <si>
    <t>Exekution</t>
  </si>
  <si>
    <t>Ohne URL + KRANK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</si>
</sst>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2">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92D050"/>
        <bgColor indexed="64"/>
      </patternFill>
    </fill>
    <fill>
      <patternFill patternType="solid">
        <fgColor rgb="FFFFFF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50">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3" fillId="9" borderId="0" xfId="0" applyFont="1" applyFill="1" applyProtection="1">
      <protection locked="0"/>
    </xf>
    <xf numFmtId="0" fontId="3" fillId="10" borderId="0" xfId="0" applyFont="1" applyFill="1" applyProtection="1">
      <protection locked="0"/>
    </xf>
    <xf numFmtId="164" fontId="0" fillId="0" borderId="1" xfId="2" applyFont="1" applyBorder="1" applyProtection="1">
      <protection locked="0"/>
    </xf>
    <xf numFmtId="0" fontId="9" fillId="0" borderId="0" xfId="0" applyFont="1" applyProtection="1">
      <protection locked="0"/>
    </xf>
    <xf numFmtId="0" fontId="0" fillId="11" borderId="1" xfId="0" applyFill="1" applyBorder="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60">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0" zoomScaleNormal="100" workbookViewId="0">
      <selection activeCell="D20" sqref="D20:F24"/>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7" t="str">
        <f>Gesamt!A3</f>
        <v>Gerrit Wichers</v>
      </c>
      <c r="N3" s="47"/>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-2.1316282072803006E-14</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c r="M13" s="1" t="s">
        <v>26</v>
      </c>
      <c r="N13">
        <f>COUNTIF(C2:C32, "Urlaub")+COUNTIF(C2:C32,"Urlaub halber Tag")/2</f>
        <v>0</v>
      </c>
      <c r="O13" s="35"/>
      <c r="Q13" s="7"/>
    </row>
    <row r="14" spans="1:21" x14ac:dyDescent="0.35">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73</v>
      </c>
      <c r="K14" s="39">
        <v>30</v>
      </c>
      <c r="L14" s="39"/>
      <c r="O14" s="35"/>
      <c r="Q14" s="7"/>
    </row>
    <row r="15" spans="1:21" x14ac:dyDescent="0.35">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73</v>
      </c>
      <c r="K15" s="39">
        <v>30</v>
      </c>
      <c r="L15" s="39"/>
      <c r="M15" s="1" t="s">
        <v>58</v>
      </c>
      <c r="N15">
        <f>Gesamt!B5+Gesamt!B7-Gesamt!G2</f>
        <v>28</v>
      </c>
      <c r="O15" s="35"/>
      <c r="Q15" s="7"/>
    </row>
    <row r="16" spans="1:21" x14ac:dyDescent="0.35">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30</v>
      </c>
      <c r="L16" s="39"/>
      <c r="M16" s="2"/>
      <c r="O16" s="35"/>
      <c r="Q16" s="7"/>
    </row>
    <row r="17" spans="1:17" x14ac:dyDescent="0.35">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73</v>
      </c>
      <c r="K17" s="39">
        <v>30</v>
      </c>
      <c r="L17" s="39"/>
      <c r="M17" s="1" t="s">
        <v>50</v>
      </c>
      <c r="N17" s="27">
        <f>SUM(G2:G32)</f>
        <v>115.49999999999999</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t="s">
        <v>73</v>
      </c>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t="s">
        <v>73</v>
      </c>
      <c r="K19" s="39"/>
      <c r="L19" s="39"/>
      <c r="M19" s="13" t="s">
        <v>6</v>
      </c>
      <c r="O19" s="35"/>
      <c r="Q19" s="7"/>
    </row>
    <row r="20" spans="1:17" x14ac:dyDescent="0.35">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c r="M20" s="6" t="s">
        <v>43</v>
      </c>
      <c r="N20" s="7">
        <f>Gesamt!C30</f>
        <v>8</v>
      </c>
      <c r="O20" s="35"/>
      <c r="Q20" s="7"/>
    </row>
    <row r="21" spans="1:17" x14ac:dyDescent="0.3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73</v>
      </c>
      <c r="K21" s="39">
        <v>30</v>
      </c>
      <c r="L21" s="39"/>
      <c r="M21" s="6" t="s">
        <v>44</v>
      </c>
      <c r="N21" s="7">
        <f>Gesamt!C31</f>
        <v>8</v>
      </c>
      <c r="O21" s="35"/>
      <c r="Q21" s="7"/>
    </row>
    <row r="22" spans="1:17" x14ac:dyDescent="0.3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30</v>
      </c>
      <c r="L22" s="39"/>
      <c r="M22" s="6" t="s">
        <v>45</v>
      </c>
      <c r="N22" s="7">
        <f>Gesamt!C32</f>
        <v>8</v>
      </c>
      <c r="O22" s="35"/>
      <c r="Q22" s="7"/>
    </row>
    <row r="23" spans="1:17" x14ac:dyDescent="0.3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c r="M23" s="6" t="s">
        <v>46</v>
      </c>
      <c r="N23" s="7">
        <f>Gesamt!C33</f>
        <v>8</v>
      </c>
      <c r="O23" s="35"/>
      <c r="Q23" s="7"/>
    </row>
    <row r="24" spans="1:17" x14ac:dyDescent="0.3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73</v>
      </c>
      <c r="K24" s="39">
        <v>30</v>
      </c>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t="s">
        <v>73</v>
      </c>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73</v>
      </c>
      <c r="K26" s="39"/>
      <c r="L26" s="39"/>
      <c r="M26" s="6" t="s">
        <v>49</v>
      </c>
      <c r="N26" s="7">
        <f>Gesamt!C36</f>
        <v>0</v>
      </c>
      <c r="O26" s="35"/>
      <c r="Q26" s="7"/>
    </row>
    <row r="27" spans="1:17" x14ac:dyDescent="0.3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3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30</v>
      </c>
      <c r="L28" s="39"/>
      <c r="O28" s="35"/>
      <c r="Q28" s="7"/>
    </row>
    <row r="29" spans="1:17" x14ac:dyDescent="0.3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73</v>
      </c>
      <c r="K29" s="39">
        <v>30</v>
      </c>
      <c r="L29" s="39"/>
      <c r="O29" s="35"/>
      <c r="Q29" s="7"/>
    </row>
    <row r="30" spans="1:17" x14ac:dyDescent="0.3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c r="M30" s="41" t="s">
        <v>74</v>
      </c>
      <c r="O30" s="35"/>
      <c r="Q30" s="7"/>
    </row>
    <row r="31" spans="1:17" x14ac:dyDescent="0.3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73</v>
      </c>
      <c r="K31" s="39">
        <v>30</v>
      </c>
      <c r="L31" s="39"/>
      <c r="M31" s="41"/>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t="s">
        <v>73</v>
      </c>
      <c r="K32" s="39"/>
      <c r="L32" s="39"/>
      <c r="O32" s="35"/>
      <c r="Q32" s="7"/>
    </row>
    <row r="33" spans="10:12" x14ac:dyDescent="0.35">
      <c r="K33" s="39"/>
      <c r="L33" s="39"/>
    </row>
    <row r="34" spans="10:12" x14ac:dyDescent="0.35">
      <c r="J34" s="2" t="s">
        <v>68</v>
      </c>
      <c r="K34" s="39">
        <f>SUM(K2:K33)</f>
        <v>450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59" priority="1">
      <formula>$C2="Feiertag"</formula>
    </cfRule>
    <cfRule type="expression" dxfId="58"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6" zoomScaleNormal="100" workbookViewId="0">
      <selection activeCell="D17" sqref="D17:F21"/>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c r="M2" s="25"/>
      <c r="O2" s="35"/>
      <c r="Q2" s="7"/>
    </row>
    <row r="3" spans="1:17" x14ac:dyDescent="0.3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73</v>
      </c>
      <c r="K3" s="39">
        <v>30</v>
      </c>
      <c r="L3" s="39"/>
      <c r="M3" s="47" t="str">
        <f>Gesamt!A3</f>
        <v>Gerrit Wichers</v>
      </c>
      <c r="N3" s="47"/>
      <c r="O3" s="35"/>
      <c r="Q3" s="7"/>
    </row>
    <row r="4" spans="1:17" x14ac:dyDescent="0.3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c r="O4" s="35"/>
      <c r="Q4" s="7"/>
    </row>
    <row r="5" spans="1:17" x14ac:dyDescent="0.3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c r="M5" s="1" t="s">
        <v>8</v>
      </c>
      <c r="N5" s="27">
        <f ca="1">SUM(I2:I32)</f>
        <v>-2.8421709430404007E-14</v>
      </c>
      <c r="O5" s="35"/>
      <c r="Q5" s="7"/>
    </row>
    <row r="6" spans="1:17" x14ac:dyDescent="0.3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c r="M6" s="25"/>
      <c r="O6" s="35"/>
      <c r="Q6" s="7"/>
    </row>
    <row r="7" spans="1:17" x14ac:dyDescent="0.3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v>30</v>
      </c>
      <c r="L7" s="39"/>
      <c r="M7" s="1" t="s">
        <v>59</v>
      </c>
      <c r="N7" s="27">
        <f ca="1">Gesamt!B9+SUM(Gesamt!E2:E3)-SUM(Gesamt!J2:J3)</f>
        <v>-4.9737991503207013E-14</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t="s">
        <v>73</v>
      </c>
      <c r="K8" s="39">
        <v>30</v>
      </c>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t="s">
        <v>73</v>
      </c>
      <c r="K9" s="39">
        <v>30</v>
      </c>
      <c r="L9" s="39"/>
      <c r="M9" s="1" t="s">
        <v>25</v>
      </c>
      <c r="N9">
        <f>COUNTIF(C2:C32,"krank")</f>
        <v>0</v>
      </c>
      <c r="O9" s="35"/>
      <c r="Q9" s="7"/>
    </row>
    <row r="10" spans="1:17" x14ac:dyDescent="0.35">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c r="M10" s="25"/>
      <c r="O10" s="35"/>
      <c r="Q10" s="7"/>
    </row>
    <row r="11" spans="1:17" x14ac:dyDescent="0.35">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c r="M11" s="1" t="s">
        <v>57</v>
      </c>
      <c r="N11" s="28">
        <f>SUM(Gesamt!F2:F3)</f>
        <v>0</v>
      </c>
      <c r="O11" s="35"/>
      <c r="Q11" s="7"/>
    </row>
    <row r="12" spans="1:17" x14ac:dyDescent="0.35">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c r="M12" s="25"/>
      <c r="O12" s="35"/>
      <c r="Q12" s="7"/>
    </row>
    <row r="13" spans="1:17" x14ac:dyDescent="0.35">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c r="M13" s="1" t="s">
        <v>26</v>
      </c>
      <c r="N13">
        <f>COUNTIF(C2:C32, "Urlaub")+COUNTIF(C2:C32,"Urlaub halber Tag")/2</f>
        <v>0</v>
      </c>
      <c r="O13" s="35"/>
      <c r="Q13" s="7"/>
    </row>
    <row r="14" spans="1:17" x14ac:dyDescent="0.35">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v>30</v>
      </c>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t="s">
        <v>73</v>
      </c>
      <c r="K15" s="39">
        <v>30</v>
      </c>
      <c r="L15" s="39"/>
      <c r="M15" s="1" t="s">
        <v>58</v>
      </c>
      <c r="N15">
        <f>Gesamt!B5+Gesamt!B7-SUM(Gesamt!G2:G3)</f>
        <v>28</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t="s">
        <v>73</v>
      </c>
      <c r="K16" s="39">
        <v>30</v>
      </c>
      <c r="L16" s="39"/>
      <c r="O16" s="35"/>
      <c r="Q16" s="7"/>
    </row>
    <row r="17" spans="1:17" x14ac:dyDescent="0.3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c r="M17" s="1" t="s">
        <v>50</v>
      </c>
      <c r="N17" s="27">
        <f>SUM(G2:G32)</f>
        <v>153.99999999999997</v>
      </c>
      <c r="O17" s="35"/>
      <c r="Q17" s="7"/>
    </row>
    <row r="18" spans="1:17" x14ac:dyDescent="0.3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c r="O18" s="35"/>
      <c r="Q18" s="7"/>
    </row>
    <row r="19" spans="1:17" x14ac:dyDescent="0.3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c r="M19" s="13" t="s">
        <v>6</v>
      </c>
      <c r="O19" s="35"/>
      <c r="Q19" s="7"/>
    </row>
    <row r="20" spans="1:17" x14ac:dyDescent="0.3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c r="M20" s="6" t="s">
        <v>43</v>
      </c>
      <c r="N20" s="7">
        <f>Gesamt!C30</f>
        <v>8</v>
      </c>
      <c r="O20" s="35"/>
      <c r="Q20" s="7"/>
    </row>
    <row r="21" spans="1:17" x14ac:dyDescent="0.3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v>30</v>
      </c>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t="s">
        <v>73</v>
      </c>
      <c r="K22" s="39">
        <v>30</v>
      </c>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t="s">
        <v>73</v>
      </c>
      <c r="K23" s="39">
        <v>30</v>
      </c>
      <c r="L23" s="39"/>
      <c r="M23" s="6" t="s">
        <v>46</v>
      </c>
      <c r="N23" s="7">
        <f>Gesamt!C33</f>
        <v>8</v>
      </c>
      <c r="O23" s="35"/>
      <c r="Q23" s="7"/>
    </row>
    <row r="24" spans="1:17" x14ac:dyDescent="0.3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c r="M24" s="6" t="s">
        <v>47</v>
      </c>
      <c r="N24" s="7">
        <f>Gesamt!C34</f>
        <v>6.5</v>
      </c>
      <c r="O24" s="35"/>
      <c r="Q24" s="7"/>
    </row>
    <row r="25" spans="1:17" x14ac:dyDescent="0.3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c r="M25" s="6" t="s">
        <v>48</v>
      </c>
      <c r="N25" s="7">
        <f>Gesamt!C35</f>
        <v>0</v>
      </c>
      <c r="O25" s="35"/>
      <c r="Q25" s="7"/>
    </row>
    <row r="26" spans="1:17" x14ac:dyDescent="0.3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c r="M26" s="6" t="s">
        <v>49</v>
      </c>
      <c r="N26" s="7">
        <f>Gesamt!C36</f>
        <v>0</v>
      </c>
      <c r="O26" s="35"/>
      <c r="Q26" s="7"/>
    </row>
    <row r="27" spans="1:17" x14ac:dyDescent="0.3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35">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v>30</v>
      </c>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t="s">
        <v>73</v>
      </c>
      <c r="K29" s="39">
        <v>30</v>
      </c>
      <c r="L29" s="39"/>
      <c r="O29" s="35"/>
      <c r="Q29" s="7"/>
    </row>
    <row r="30" spans="1:17" x14ac:dyDescent="0.35">
      <c r="A30" s="29"/>
      <c r="B30"/>
      <c r="G30" s="27"/>
      <c r="H30" s="27"/>
      <c r="I30" s="27"/>
      <c r="J30" s="7"/>
      <c r="K30" s="39"/>
      <c r="L30" s="39"/>
      <c r="M30" s="42" t="s">
        <v>74</v>
      </c>
      <c r="O30" s="35"/>
      <c r="Q30" s="7"/>
    </row>
    <row r="31" spans="1:17" x14ac:dyDescent="0.35">
      <c r="A31" s="23"/>
      <c r="H31" s="7"/>
      <c r="I31" s="7"/>
      <c r="J31" s="2" t="s">
        <v>68</v>
      </c>
      <c r="K31" s="39">
        <f>SUM(K2:K30)</f>
        <v>840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57" priority="7">
      <formula>$C3="Feiertag"</formula>
    </cfRule>
    <cfRule type="expression" dxfId="56" priority="8">
      <formula>WEEKDAY($A3,2)&gt;=6</formula>
    </cfRule>
  </conditionalFormatting>
  <conditionalFormatting sqref="A8:I29">
    <cfRule type="expression" dxfId="55" priority="1">
      <formula>$C8="Feiertag"</formula>
    </cfRule>
    <cfRule type="expression" dxfId="54" priority="2">
      <formula>WEEKDAY($A8,2)&gt;=6</formula>
    </cfRule>
  </conditionalFormatting>
  <conditionalFormatting sqref="A2:J2 G3:J3 G4:I7 J4:J29">
    <cfRule type="expression" dxfId="53" priority="9">
      <formula>$C2="Feiertag"</formula>
    </cfRule>
    <cfRule type="expression" dxfId="52"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0" zoomScaleNormal="100" workbookViewId="0">
      <selection activeCell="D17" sqref="D17:F21"/>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v>17</v>
      </c>
      <c r="M2" s="25"/>
      <c r="O2" s="35"/>
      <c r="Q2" s="7"/>
    </row>
    <row r="3" spans="1:17" x14ac:dyDescent="0.3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73</v>
      </c>
      <c r="K3" s="39">
        <v>30</v>
      </c>
      <c r="L3" s="39">
        <v>17</v>
      </c>
      <c r="M3" s="47" t="str">
        <f>Gesamt!A3</f>
        <v>Gerrit Wichers</v>
      </c>
      <c r="N3" s="47"/>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v>17</v>
      </c>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v>17</v>
      </c>
      <c r="M5" s="1" t="s">
        <v>8</v>
      </c>
      <c r="N5" s="27">
        <f ca="1">SUM(I2:I32)</f>
        <v>-3.1974423109204508E-14</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v>17</v>
      </c>
      <c r="M6" s="25"/>
      <c r="O6" s="35"/>
      <c r="Q6" s="7"/>
    </row>
    <row r="7" spans="1:17" x14ac:dyDescent="0.3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v>30</v>
      </c>
      <c r="L7" s="39">
        <v>17</v>
      </c>
      <c r="M7" s="1" t="s">
        <v>59</v>
      </c>
      <c r="N7" s="27">
        <f ca="1">Gesamt!B9+SUM(Gesamt!E2:E4)-SUM(Gesamt!J2:J4)</f>
        <v>-8.1712414612411521E-14</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t="s">
        <v>73</v>
      </c>
      <c r="K8" s="39">
        <v>30</v>
      </c>
      <c r="L8" s="39">
        <v>17</v>
      </c>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t="s">
        <v>73</v>
      </c>
      <c r="K9" s="39">
        <v>30</v>
      </c>
      <c r="L9" s="39">
        <v>17</v>
      </c>
      <c r="M9" s="1" t="s">
        <v>25</v>
      </c>
      <c r="N9">
        <f>COUNTIF(C2:C32,"krank")</f>
        <v>0</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v>17</v>
      </c>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v>17</v>
      </c>
      <c r="M11" s="1" t="s">
        <v>57</v>
      </c>
      <c r="N11" s="28">
        <f>SUM(Gesamt!F2:F4)</f>
        <v>0</v>
      </c>
      <c r="O11" s="35"/>
      <c r="Q11" s="7"/>
    </row>
    <row r="12" spans="1:17" x14ac:dyDescent="0.3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v>17</v>
      </c>
      <c r="M12" s="25"/>
      <c r="O12" s="35"/>
      <c r="Q12" s="7"/>
    </row>
    <row r="13" spans="1:17" x14ac:dyDescent="0.3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v>17</v>
      </c>
      <c r="M13" s="1" t="s">
        <v>26</v>
      </c>
      <c r="N13">
        <f>COUNTIF(C2:C32, "Urlaub")+COUNTIF(C2:C32,"Urlaub halber Tag")/2</f>
        <v>0</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v>30</v>
      </c>
      <c r="L14" s="39">
        <v>17</v>
      </c>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t="s">
        <v>73</v>
      </c>
      <c r="K15" s="39">
        <v>30</v>
      </c>
      <c r="L15" s="39">
        <v>17</v>
      </c>
      <c r="M15" s="1" t="s">
        <v>58</v>
      </c>
      <c r="N15">
        <f>Gesamt!B5+Gesamt!B7-SUM(Gesamt!G2:G4)</f>
        <v>28</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t="s">
        <v>73</v>
      </c>
      <c r="K16" s="39">
        <v>30</v>
      </c>
      <c r="L16" s="39">
        <v>17</v>
      </c>
      <c r="O16" s="35"/>
      <c r="Q16" s="7"/>
    </row>
    <row r="17" spans="1:17" x14ac:dyDescent="0.3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v>17</v>
      </c>
      <c r="M17" s="1" t="s">
        <v>50</v>
      </c>
      <c r="N17" s="27">
        <f>SUM(G2:G32)</f>
        <v>169.99999999999997</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v>17</v>
      </c>
      <c r="O18" s="35"/>
      <c r="Q18" s="7"/>
    </row>
    <row r="19" spans="1:17" x14ac:dyDescent="0.3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v>17</v>
      </c>
      <c r="M19" s="13" t="s">
        <v>6</v>
      </c>
      <c r="O19" s="35"/>
      <c r="Q19" s="7"/>
    </row>
    <row r="20" spans="1:17" x14ac:dyDescent="0.3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v>17</v>
      </c>
      <c r="M20" s="6" t="s">
        <v>43</v>
      </c>
      <c r="N20" s="7">
        <f>Gesamt!C30</f>
        <v>8</v>
      </c>
      <c r="O20" s="35"/>
      <c r="Q20" s="7"/>
    </row>
    <row r="21" spans="1:17" x14ac:dyDescent="0.3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v>30</v>
      </c>
      <c r="L21" s="39">
        <v>17</v>
      </c>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t="s">
        <v>73</v>
      </c>
      <c r="K22" s="39">
        <v>30</v>
      </c>
      <c r="L22" s="39">
        <v>17</v>
      </c>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t="s">
        <v>73</v>
      </c>
      <c r="K23" s="39">
        <v>30</v>
      </c>
      <c r="L23" s="39">
        <v>17</v>
      </c>
      <c r="M23" s="6" t="s">
        <v>46</v>
      </c>
      <c r="N23" s="7">
        <f>Gesamt!C33</f>
        <v>8</v>
      </c>
      <c r="O23" s="35"/>
      <c r="Q23" s="7"/>
    </row>
    <row r="24" spans="1:17" x14ac:dyDescent="0.35">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v>17</v>
      </c>
      <c r="M24" s="6" t="s">
        <v>47</v>
      </c>
      <c r="N24" s="7">
        <f>Gesamt!C34</f>
        <v>6.5</v>
      </c>
      <c r="O24" s="35"/>
      <c r="Q24" s="7"/>
    </row>
    <row r="25" spans="1:17" x14ac:dyDescent="0.35">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v>17</v>
      </c>
      <c r="M25" s="6" t="s">
        <v>48</v>
      </c>
      <c r="N25" s="7">
        <f>Gesamt!C35</f>
        <v>0</v>
      </c>
      <c r="O25" s="35"/>
      <c r="Q25" s="7"/>
    </row>
    <row r="26" spans="1:17" x14ac:dyDescent="0.3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v>17</v>
      </c>
      <c r="M26" s="6" t="s">
        <v>49</v>
      </c>
      <c r="N26" s="7">
        <f>Gesamt!C36</f>
        <v>0</v>
      </c>
      <c r="O26" s="35"/>
      <c r="Q26" s="7"/>
    </row>
    <row r="27" spans="1:17" x14ac:dyDescent="0.3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v>17</v>
      </c>
      <c r="M27" s="13" t="s">
        <v>54</v>
      </c>
      <c r="N27" s="27">
        <f>SUM(N20:N26)</f>
        <v>38.5</v>
      </c>
      <c r="O27" s="35"/>
      <c r="Q27" s="7"/>
    </row>
    <row r="28" spans="1:17" x14ac:dyDescent="0.35">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v>30</v>
      </c>
      <c r="L28" s="39">
        <v>17</v>
      </c>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t="s">
        <v>73</v>
      </c>
      <c r="K29" s="39">
        <v>30</v>
      </c>
      <c r="L29" s="39">
        <v>17</v>
      </c>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t="s">
        <v>73</v>
      </c>
      <c r="K30" s="39">
        <v>30</v>
      </c>
      <c r="L30" s="39">
        <v>17</v>
      </c>
      <c r="M30" s="42" t="s">
        <v>74</v>
      </c>
      <c r="O30" s="35"/>
      <c r="Q30" s="7"/>
    </row>
    <row r="31" spans="1:17" x14ac:dyDescent="0.3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v>17</v>
      </c>
      <c r="O31" s="35"/>
      <c r="Q31" s="7"/>
    </row>
    <row r="32" spans="1:17" x14ac:dyDescent="0.3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73</v>
      </c>
      <c r="K32" s="39">
        <v>30</v>
      </c>
      <c r="L32" s="39">
        <v>17</v>
      </c>
      <c r="M32" s="43" t="s">
        <v>75</v>
      </c>
      <c r="O32" s="35"/>
      <c r="Q32" s="7"/>
    </row>
    <row r="33" spans="10:12" x14ac:dyDescent="0.35">
      <c r="K33" s="39"/>
      <c r="L33" s="39"/>
    </row>
    <row r="34" spans="10:12" x14ac:dyDescent="0.35">
      <c r="J34" s="2" t="s">
        <v>68</v>
      </c>
      <c r="K34" s="39">
        <f>SUM(K2:K33)</f>
        <v>930</v>
      </c>
      <c r="L34" s="39">
        <f>SUM(L2:L33)</f>
        <v>527</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51" priority="9">
      <formula>$C3="Feiertag"</formula>
    </cfRule>
    <cfRule type="expression" dxfId="50" priority="10">
      <formula>WEEKDAY($A3,2)&gt;=6</formula>
    </cfRule>
  </conditionalFormatting>
  <conditionalFormatting sqref="A8:I32">
    <cfRule type="expression" dxfId="49" priority="1">
      <formula>$C8="Feiertag"</formula>
    </cfRule>
    <cfRule type="expression" dxfId="48" priority="2">
      <formula>WEEKDAY($A8,2)&gt;=6</formula>
    </cfRule>
  </conditionalFormatting>
  <conditionalFormatting sqref="A2:J2 G3:J3 G4:I7 J4:J32">
    <cfRule type="expression" dxfId="47" priority="11">
      <formula>$C2="Feiertag"</formula>
    </cfRule>
    <cfRule type="expression" dxfId="4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3" zoomScaleNormal="100" workbookViewId="0">
      <selection activeCell="D21" sqref="D21:F25"/>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76</v>
      </c>
      <c r="K2" s="39">
        <v>30</v>
      </c>
      <c r="L2" s="39">
        <v>17</v>
      </c>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76</v>
      </c>
      <c r="K3" s="39">
        <v>30</v>
      </c>
      <c r="L3" s="39">
        <v>17</v>
      </c>
      <c r="M3" s="47" t="str">
        <f>Gesamt!A3</f>
        <v>Gerrit Wichers</v>
      </c>
      <c r="N3" s="47"/>
      <c r="O3" s="35"/>
      <c r="Q3" s="7"/>
    </row>
    <row r="4" spans="1:17" x14ac:dyDescent="0.3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76</v>
      </c>
      <c r="K4" s="39">
        <v>30</v>
      </c>
      <c r="L4" s="39">
        <v>17</v>
      </c>
      <c r="O4" s="35"/>
      <c r="Q4" s="7"/>
    </row>
    <row r="5" spans="1:17" x14ac:dyDescent="0.35">
      <c r="A5" s="29">
        <v>46116</v>
      </c>
      <c r="B5" t="str">
        <f t="shared" si="0"/>
        <v>Sa</v>
      </c>
      <c r="G5" s="27">
        <f t="shared" si="1"/>
        <v>0</v>
      </c>
      <c r="H5" s="27">
        <f ca="1">IF(Q5&lt;&gt;"",Q5,IF(OR(C5="Feiertag",A5&lt;Gesamt!$B$11,A5&gt;Gesamt!$B$13,),0,INDIRECT("N"&amp;WEEKDAY(A5,2)+19)))</f>
        <v>0</v>
      </c>
      <c r="I5" s="27">
        <f t="shared" si="2"/>
        <v>0</v>
      </c>
      <c r="J5" s="7" t="s">
        <v>76</v>
      </c>
      <c r="K5" s="39">
        <v>30</v>
      </c>
      <c r="L5" s="39">
        <v>17</v>
      </c>
      <c r="M5" s="1" t="s">
        <v>8</v>
      </c>
      <c r="N5" s="27">
        <f ca="1">SUM(I2:I32)</f>
        <v>-3.0198066269804258E-14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t="s">
        <v>76</v>
      </c>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t="s">
        <v>76</v>
      </c>
      <c r="K7" s="39"/>
      <c r="L7" s="39"/>
      <c r="M7" s="1" t="s">
        <v>59</v>
      </c>
      <c r="N7" s="27">
        <f ca="1">Gesamt!B9+SUM(Gesamt!E2:E5)-SUM(Gesamt!J2:J5)</f>
        <v>-1.1191048088221578E-13</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76</v>
      </c>
      <c r="K8" s="39">
        <v>30</v>
      </c>
      <c r="L8" s="39">
        <v>17</v>
      </c>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76</v>
      </c>
      <c r="K9" s="39">
        <v>30</v>
      </c>
      <c r="L9" s="39">
        <v>17</v>
      </c>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76</v>
      </c>
      <c r="K10" s="39">
        <v>30</v>
      </c>
      <c r="L10" s="39">
        <v>17</v>
      </c>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76</v>
      </c>
      <c r="K11" s="39">
        <v>30</v>
      </c>
      <c r="L11" s="39">
        <v>17</v>
      </c>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t="s">
        <v>76</v>
      </c>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t="s">
        <v>76</v>
      </c>
      <c r="K13" s="39"/>
      <c r="L13" s="39"/>
      <c r="M13" s="1" t="s">
        <v>26</v>
      </c>
      <c r="N13">
        <f>COUNTIF(C2:C32, "Urlaub")+COUNTIF(C2:C32,"Urlaub halber Tag")/2</f>
        <v>0</v>
      </c>
      <c r="O13" s="35"/>
      <c r="Q13" s="7"/>
    </row>
    <row r="14" spans="1:17" x14ac:dyDescent="0.3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76</v>
      </c>
      <c r="K14" s="39">
        <v>30</v>
      </c>
      <c r="L14" s="39">
        <v>17</v>
      </c>
      <c r="M14" s="25"/>
      <c r="O14" s="35"/>
      <c r="Q14" s="7"/>
    </row>
    <row r="15" spans="1:17" x14ac:dyDescent="0.3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76</v>
      </c>
      <c r="K15" s="39">
        <v>30</v>
      </c>
      <c r="L15" s="39">
        <v>17</v>
      </c>
      <c r="M15" s="1" t="s">
        <v>58</v>
      </c>
      <c r="N15">
        <f>Gesamt!B5+Gesamt!B7-SUM(Gesamt!G2:G5)</f>
        <v>28</v>
      </c>
      <c r="O15" s="35"/>
      <c r="Q15" s="7"/>
    </row>
    <row r="16" spans="1:17" x14ac:dyDescent="0.3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76</v>
      </c>
      <c r="K16" s="39">
        <v>30</v>
      </c>
      <c r="L16" s="39">
        <v>17</v>
      </c>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76</v>
      </c>
      <c r="K17" s="39">
        <v>30</v>
      </c>
      <c r="L17" s="39">
        <v>17</v>
      </c>
      <c r="M17" s="1" t="s">
        <v>50</v>
      </c>
      <c r="N17" s="27">
        <f>SUM(G2:G32)</f>
        <v>162</v>
      </c>
      <c r="O17" s="35"/>
      <c r="Q17" s="7"/>
    </row>
    <row r="18" spans="1:17" x14ac:dyDescent="0.3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76</v>
      </c>
      <c r="K18" s="39">
        <v>30</v>
      </c>
      <c r="L18" s="39">
        <v>17</v>
      </c>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t="s">
        <v>76</v>
      </c>
      <c r="K19" s="39">
        <v>30</v>
      </c>
      <c r="L19" s="39">
        <v>17</v>
      </c>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t="s">
        <v>76</v>
      </c>
      <c r="K20" s="39">
        <v>30</v>
      </c>
      <c r="L20" s="39">
        <v>17</v>
      </c>
      <c r="M20" s="6" t="s">
        <v>43</v>
      </c>
      <c r="N20" s="7">
        <f>Gesamt!C30</f>
        <v>8</v>
      </c>
      <c r="O20" s="35"/>
      <c r="Q20" s="7"/>
    </row>
    <row r="21" spans="1:17" x14ac:dyDescent="0.3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76</v>
      </c>
      <c r="K21" s="39">
        <v>30</v>
      </c>
      <c r="L21" s="39">
        <v>17</v>
      </c>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76</v>
      </c>
      <c r="K22" s="39">
        <v>30</v>
      </c>
      <c r="L22" s="39">
        <v>17</v>
      </c>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76</v>
      </c>
      <c r="K23" s="39">
        <v>30</v>
      </c>
      <c r="L23" s="39">
        <v>17</v>
      </c>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76</v>
      </c>
      <c r="K24" s="39">
        <v>30</v>
      </c>
      <c r="L24" s="39">
        <v>17</v>
      </c>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76</v>
      </c>
      <c r="K25" s="39">
        <v>30</v>
      </c>
      <c r="L25" s="39">
        <v>17</v>
      </c>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76</v>
      </c>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76</v>
      </c>
      <c r="K27" s="39"/>
      <c r="L27" s="39"/>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76</v>
      </c>
      <c r="K28" s="39">
        <v>30</v>
      </c>
      <c r="L28" s="39">
        <v>17</v>
      </c>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76</v>
      </c>
      <c r="K29" s="39">
        <v>30</v>
      </c>
      <c r="L29" s="39">
        <v>17</v>
      </c>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76</v>
      </c>
      <c r="K30" s="39">
        <v>30</v>
      </c>
      <c r="L30" s="39">
        <v>17</v>
      </c>
      <c r="M30" s="42" t="s">
        <v>74</v>
      </c>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76</v>
      </c>
      <c r="K31" s="39">
        <v>30</v>
      </c>
      <c r="L31" s="39">
        <v>17</v>
      </c>
      <c r="O31" s="35"/>
      <c r="Q31" s="7"/>
    </row>
    <row r="32" spans="1:17" x14ac:dyDescent="0.35">
      <c r="A32" s="23"/>
      <c r="H32" s="7"/>
      <c r="I32" s="7"/>
      <c r="J32" s="7"/>
      <c r="K32" s="39"/>
      <c r="L32" s="39"/>
    </row>
    <row r="33" spans="10:12" x14ac:dyDescent="0.35">
      <c r="J33" s="2" t="s">
        <v>68</v>
      </c>
      <c r="K33" s="39">
        <f>SUM(K2:K32)</f>
        <v>720</v>
      </c>
      <c r="L33" s="39">
        <f>SUM(L2:L32)</f>
        <v>408</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45" priority="1">
      <formula>$C2="Feiertag"</formula>
    </cfRule>
    <cfRule type="expression" dxfId="44" priority="2">
      <formula>WEEKDAY($A2,2)&gt;=6</formula>
    </cfRule>
  </conditionalFormatting>
  <conditionalFormatting sqref="A5:I31">
    <cfRule type="expression" dxfId="43" priority="3">
      <formula>$C5="Feiertag"</formula>
    </cfRule>
    <cfRule type="expression" dxfId="42" priority="4">
      <formula>WEEKDAY($A5,2)&gt;=6</formula>
    </cfRule>
  </conditionalFormatting>
  <conditionalFormatting sqref="G2:J2 G3:I4 J3:J31">
    <cfRule type="expression" dxfId="41" priority="11">
      <formula>$C2="Feiertag"</formula>
    </cfRule>
    <cfRule type="expression" dxfId="40"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D19" sqref="D19:F23"/>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7" t="str">
        <f>Gesamt!A3</f>
        <v>Gerrit Wichers</v>
      </c>
      <c r="N3" s="47"/>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c r="M5" s="1" t="s">
        <v>8</v>
      </c>
      <c r="N5" s="27">
        <f ca="1">SUM(I2:I32)</f>
        <v>-2.4868995751603507E-14</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73</v>
      </c>
      <c r="K7" s="39">
        <v>30</v>
      </c>
      <c r="L7" s="39"/>
      <c r="M7" s="1" t="s">
        <v>59</v>
      </c>
      <c r="N7" s="27">
        <f ca="1">Gesamt!B9+SUM(Gesamt!E2:E6)-SUM(Gesamt!J2:J6)</f>
        <v>-1.3677947663381929E-13</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73</v>
      </c>
      <c r="K8" s="39">
        <v>30</v>
      </c>
      <c r="L8" s="39"/>
      <c r="M8" s="25"/>
      <c r="O8" s="35"/>
      <c r="Q8" s="7"/>
    </row>
    <row r="9" spans="1:17" x14ac:dyDescent="0.3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73</v>
      </c>
      <c r="K9" s="39">
        <v>30</v>
      </c>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v>30</v>
      </c>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v>35.299999999999997</v>
      </c>
      <c r="L11" s="39"/>
      <c r="M11" s="1" t="s">
        <v>57</v>
      </c>
      <c r="N11" s="28">
        <f>SUM(Gesamt!F2:F6)</f>
        <v>0</v>
      </c>
      <c r="O11" s="35"/>
      <c r="Q11" s="7"/>
    </row>
    <row r="12" spans="1:17" x14ac:dyDescent="0.3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77</v>
      </c>
      <c r="K12" s="39">
        <v>35.299999999999997</v>
      </c>
      <c r="L12" s="39"/>
      <c r="M12" s="25"/>
      <c r="O12" s="35"/>
      <c r="Q12" s="7"/>
    </row>
    <row r="13" spans="1:17" x14ac:dyDescent="0.3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77</v>
      </c>
      <c r="K13" s="39">
        <v>35.299999999999997</v>
      </c>
      <c r="L13" s="39"/>
      <c r="M13" s="1" t="s">
        <v>26</v>
      </c>
      <c r="N13">
        <f>COUNTIF(C2:C32, "Urlaub")+COUNTIF(C2:C32,"Urlaub halber Tag")/2</f>
        <v>0</v>
      </c>
      <c r="O13" s="35"/>
      <c r="Q13" s="7"/>
    </row>
    <row r="14" spans="1:17" x14ac:dyDescent="0.35">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77</v>
      </c>
      <c r="K14" s="39">
        <v>35.299999999999997</v>
      </c>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t="s">
        <v>77</v>
      </c>
      <c r="K15" s="39"/>
      <c r="L15" s="39"/>
      <c r="M15" s="1" t="s">
        <v>58</v>
      </c>
      <c r="N15">
        <f>Gesamt!B5+Gesamt!B7-SUM(Gesamt!G2:G6)</f>
        <v>28</v>
      </c>
      <c r="O15" s="35"/>
      <c r="Q15" s="7"/>
    </row>
    <row r="16" spans="1:17" x14ac:dyDescent="0.35">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77</v>
      </c>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t="s">
        <v>77</v>
      </c>
      <c r="K17" s="39"/>
      <c r="L17" s="39"/>
      <c r="M17" s="1" t="s">
        <v>50</v>
      </c>
      <c r="N17" s="27">
        <f>SUM(G2:G32)</f>
        <v>138</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t="s">
        <v>77</v>
      </c>
      <c r="K18" s="39">
        <v>35.299999999999997</v>
      </c>
      <c r="L18" s="39"/>
      <c r="O18" s="35"/>
      <c r="Q18" s="7"/>
    </row>
    <row r="19" spans="1:17" x14ac:dyDescent="0.3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77</v>
      </c>
      <c r="K19" s="39">
        <v>35.299999999999997</v>
      </c>
      <c r="L19" s="39"/>
      <c r="M19" s="13" t="s">
        <v>6</v>
      </c>
      <c r="O19" s="35"/>
      <c r="Q19" s="7"/>
    </row>
    <row r="20" spans="1:17" x14ac:dyDescent="0.3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77</v>
      </c>
      <c r="K20" s="39">
        <v>35.299999999999997</v>
      </c>
      <c r="L20" s="39"/>
      <c r="M20" s="6" t="s">
        <v>43</v>
      </c>
      <c r="N20" s="7">
        <f>Gesamt!C30</f>
        <v>8</v>
      </c>
      <c r="O20" s="35"/>
      <c r="Q20" s="7"/>
    </row>
    <row r="21" spans="1:17" x14ac:dyDescent="0.3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78</v>
      </c>
      <c r="K21" s="39">
        <v>35.299999999999997</v>
      </c>
      <c r="L21" s="39"/>
      <c r="M21" s="6" t="s">
        <v>44</v>
      </c>
      <c r="N21" s="7">
        <f>Gesamt!C31</f>
        <v>8</v>
      </c>
      <c r="O21" s="35"/>
      <c r="Q21" s="7"/>
    </row>
    <row r="22" spans="1:17" x14ac:dyDescent="0.3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78</v>
      </c>
      <c r="K22" s="39">
        <v>35.299999999999997</v>
      </c>
      <c r="L22" s="39"/>
      <c r="M22" s="6" t="s">
        <v>45</v>
      </c>
      <c r="N22" s="7">
        <f>Gesamt!C32</f>
        <v>8</v>
      </c>
      <c r="O22" s="35"/>
      <c r="Q22" s="7"/>
    </row>
    <row r="23" spans="1:17" x14ac:dyDescent="0.3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78</v>
      </c>
      <c r="K23" s="39">
        <v>35.299999999999997</v>
      </c>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t="s">
        <v>78</v>
      </c>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t="s">
        <v>78</v>
      </c>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c r="K27" s="39"/>
      <c r="L27" s="39"/>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c r="K28" s="39"/>
      <c r="L28" s="39"/>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c r="K29" s="39"/>
      <c r="L29" s="39"/>
      <c r="O29" s="3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c r="K30" s="39"/>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M31" s="42" t="s">
        <v>74</v>
      </c>
      <c r="N31" s="2" t="s">
        <v>79</v>
      </c>
      <c r="O31" s="44">
        <f>1010*5</f>
        <v>5050</v>
      </c>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533.00000000000011</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12:F14">
    <cfRule type="expression" dxfId="39" priority="7">
      <formula>$C12="Feiertag"</formula>
    </cfRule>
    <cfRule type="expression" dxfId="38" priority="8">
      <formula>WEEKDAY($A12,2)&gt;=6</formula>
    </cfRule>
  </conditionalFormatting>
  <conditionalFormatting sqref="A19:F23">
    <cfRule type="expression" dxfId="37" priority="11">
      <formula>$C19="Feiertag"</formula>
    </cfRule>
    <cfRule type="expression" dxfId="36" priority="12">
      <formula>WEEKDAY($A19,2)&gt;=6</formula>
    </cfRule>
  </conditionalFormatting>
  <conditionalFormatting sqref="A15:I18">
    <cfRule type="expression" dxfId="35" priority="5">
      <formula>$C15="Feiertag"</formula>
    </cfRule>
    <cfRule type="expression" dxfId="34" priority="6">
      <formula>WEEKDAY($A15,2)&gt;=6</formula>
    </cfRule>
  </conditionalFormatting>
  <conditionalFormatting sqref="A24:I30">
    <cfRule type="expression" dxfId="33" priority="1">
      <formula>$C24="Feiertag"</formula>
    </cfRule>
    <cfRule type="expression" dxfId="32" priority="2">
      <formula>WEEKDAY($A24,2)&gt;=6</formula>
    </cfRule>
  </conditionalFormatting>
  <conditionalFormatting sqref="A2:J11">
    <cfRule type="expression" dxfId="31" priority="9">
      <formula>$C2="Feiertag"</formula>
    </cfRule>
    <cfRule type="expression" dxfId="30" priority="10">
      <formula>WEEKDAY($A2,2)&gt;=6</formula>
    </cfRule>
  </conditionalFormatting>
  <conditionalFormatting sqref="G12:J12 G13:I14 J13:J20 G19:I20 G21:J21 G22:I23 J22:J30 A31:J32">
    <cfRule type="expression" dxfId="29" priority="13">
      <formula>$C12="Feiertag"</formula>
    </cfRule>
    <cfRule type="expression" dxfId="28" priority="14">
      <formula>WEEKDAY($A12,2)&gt;=6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opLeftCell="A7" zoomScale="85" zoomScaleNormal="85" workbookViewId="0">
      <selection activeCell="D23" sqref="D23:F27"/>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73</v>
      </c>
      <c r="K2" s="39">
        <v>30</v>
      </c>
      <c r="L2" s="39">
        <v>17</v>
      </c>
      <c r="M2" s="25"/>
      <c r="O2" s="35"/>
      <c r="Q2" s="7"/>
    </row>
    <row r="3" spans="1:17" x14ac:dyDescent="0.35">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73</v>
      </c>
      <c r="K3" s="39">
        <v>30</v>
      </c>
      <c r="L3" s="39">
        <v>17</v>
      </c>
      <c r="M3" s="47" t="str">
        <f>Gesamt!A3</f>
        <v>Gerrit Wichers</v>
      </c>
      <c r="N3" s="47"/>
      <c r="O3" s="35"/>
      <c r="Q3" s="7"/>
    </row>
    <row r="4" spans="1:17" x14ac:dyDescent="0.35">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v>17</v>
      </c>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t="s">
        <v>73</v>
      </c>
      <c r="K5" s="39">
        <v>30</v>
      </c>
      <c r="L5" s="39"/>
      <c r="M5" s="1" t="s">
        <v>8</v>
      </c>
      <c r="N5" s="27">
        <f ca="1">SUM(I2:I32)</f>
        <v>-3.0198066269804258E-14</v>
      </c>
      <c r="O5" s="35"/>
      <c r="Q5" s="7"/>
    </row>
    <row r="6" spans="1:17" x14ac:dyDescent="0.35">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73</v>
      </c>
      <c r="K6" s="39">
        <v>30</v>
      </c>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t="s">
        <v>73</v>
      </c>
      <c r="K7" s="39">
        <v>30</v>
      </c>
      <c r="L7" s="39"/>
      <c r="M7" s="1" t="s">
        <v>59</v>
      </c>
      <c r="N7" s="27">
        <f ca="1">Gesamt!B9+SUM(Gesamt!E2:E7)-SUM(Gesamt!J2:J7)</f>
        <v>-1.6697754290362354E-13</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t="s">
        <v>73</v>
      </c>
      <c r="K8" s="39">
        <v>30</v>
      </c>
      <c r="L8" s="39"/>
      <c r="M8" s="25"/>
      <c r="O8" s="35"/>
      <c r="Q8" s="7"/>
    </row>
    <row r="9" spans="1:17" x14ac:dyDescent="0.35">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73</v>
      </c>
      <c r="K9" s="39">
        <v>30</v>
      </c>
      <c r="L9" s="39"/>
      <c r="M9" s="1" t="s">
        <v>25</v>
      </c>
      <c r="N9">
        <f>COUNTIF(C2:C32,"krank")</f>
        <v>0</v>
      </c>
      <c r="O9" s="35"/>
      <c r="Q9" s="7"/>
    </row>
    <row r="10" spans="1:17" x14ac:dyDescent="0.35">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c r="M10" s="25"/>
      <c r="O10" s="35"/>
      <c r="Q10" s="7"/>
    </row>
    <row r="11" spans="1:17" x14ac:dyDescent="0.35">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c r="M11" s="1" t="s">
        <v>57</v>
      </c>
      <c r="N11" s="28">
        <f>SUM(Gesamt!F2:F7)</f>
        <v>0</v>
      </c>
      <c r="O11" s="35"/>
      <c r="Q11" s="7"/>
    </row>
    <row r="12" spans="1:17" x14ac:dyDescent="0.35">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c r="M12" s="25"/>
      <c r="O12" s="35"/>
      <c r="Q12" s="7"/>
    </row>
    <row r="13" spans="1:17" x14ac:dyDescent="0.35">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73</v>
      </c>
      <c r="K13" s="39">
        <v>30</v>
      </c>
      <c r="L13" s="39"/>
      <c r="M13" s="1" t="s">
        <v>26</v>
      </c>
      <c r="N13">
        <f>COUNTIF(C2:C32, "Urlaub")+COUNTIF(C2:C32,"Urlaub halber Tag")/2</f>
        <v>1</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t="s">
        <v>73</v>
      </c>
      <c r="K14" s="39">
        <v>30</v>
      </c>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t="s">
        <v>73</v>
      </c>
      <c r="K15" s="39">
        <v>30</v>
      </c>
      <c r="L15" s="39"/>
      <c r="M15" s="1" t="s">
        <v>58</v>
      </c>
      <c r="N15">
        <f>Gesamt!B5+Gesamt!B7-SUM(Gesamt!G2:G7)</f>
        <v>27</v>
      </c>
      <c r="O15" s="35"/>
      <c r="Q15" s="7"/>
    </row>
    <row r="16" spans="1:17" x14ac:dyDescent="0.35">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30</v>
      </c>
      <c r="L16" s="39"/>
      <c r="O16" s="35"/>
      <c r="Q16" s="7"/>
    </row>
    <row r="17" spans="1:17" x14ac:dyDescent="0.3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c r="M17" s="1" t="s">
        <v>50</v>
      </c>
      <c r="N17" s="27">
        <f ca="1">SUM(G2:G32)</f>
        <v>162</v>
      </c>
      <c r="O17" s="35"/>
      <c r="Q17" s="7"/>
    </row>
    <row r="18" spans="1:17" x14ac:dyDescent="0.35">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c r="O18" s="35"/>
      <c r="Q18" s="7"/>
    </row>
    <row r="19" spans="1:17" x14ac:dyDescent="0.35">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c r="M19" s="13" t="s">
        <v>6</v>
      </c>
      <c r="O19" s="35"/>
      <c r="Q19" s="7"/>
    </row>
    <row r="20" spans="1:17" x14ac:dyDescent="0.35">
      <c r="A20" s="29">
        <v>46192</v>
      </c>
      <c r="B20" t="str">
        <f t="shared" si="0"/>
        <v>Fr</v>
      </c>
      <c r="C20" s="2" t="s">
        <v>22</v>
      </c>
      <c r="D20" s="24">
        <v>0.29166666666666669</v>
      </c>
      <c r="E20" s="24">
        <v>0.5625</v>
      </c>
      <c r="G20" s="27">
        <f t="shared" ca="1" si="1"/>
        <v>6.5</v>
      </c>
      <c r="H20" s="27">
        <f ca="1">IF(Q20&lt;&gt;"",Q20,IF(OR(C20="Feiertag",A20&lt;Gesamt!$B$11,A20&gt;Gesamt!$B$13,),0,INDIRECT("N"&amp;WEEKDAY(A20,2)+19)))</f>
        <v>6.5</v>
      </c>
      <c r="I20" s="27">
        <f t="shared" ca="1" si="2"/>
        <v>0</v>
      </c>
      <c r="J20" s="7" t="s">
        <v>73</v>
      </c>
      <c r="K20" s="39">
        <v>30</v>
      </c>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t="s">
        <v>73</v>
      </c>
      <c r="K21" s="39">
        <v>30</v>
      </c>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t="s">
        <v>73</v>
      </c>
      <c r="K22" s="39">
        <v>30</v>
      </c>
      <c r="L22" s="39"/>
      <c r="M22" s="6" t="s">
        <v>45</v>
      </c>
      <c r="N22" s="7">
        <f>Gesamt!C32</f>
        <v>8</v>
      </c>
      <c r="O22" s="35"/>
      <c r="Q22" s="7"/>
    </row>
    <row r="23" spans="1:17" x14ac:dyDescent="0.35">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c r="M23" s="6" t="s">
        <v>46</v>
      </c>
      <c r="N23" s="7">
        <f>Gesamt!C33</f>
        <v>8</v>
      </c>
      <c r="O23" s="35"/>
      <c r="Q23" s="7"/>
    </row>
    <row r="24" spans="1:17" x14ac:dyDescent="0.35">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c r="M24" s="6" t="s">
        <v>47</v>
      </c>
      <c r="N24" s="7">
        <f>Gesamt!C34</f>
        <v>6.5</v>
      </c>
      <c r="O24" s="35"/>
      <c r="Q24" s="7"/>
    </row>
    <row r="25" spans="1:17" x14ac:dyDescent="0.35">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c r="M25" s="6" t="s">
        <v>48</v>
      </c>
      <c r="N25" s="7">
        <f>Gesamt!C35</f>
        <v>0</v>
      </c>
      <c r="O25" s="35"/>
      <c r="Q25" s="7"/>
    </row>
    <row r="26" spans="1:17" x14ac:dyDescent="0.35">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c r="M26" s="6" t="s">
        <v>49</v>
      </c>
      <c r="N26" s="7">
        <f>Gesamt!C36</f>
        <v>0</v>
      </c>
      <c r="O26" s="35"/>
      <c r="Q26" s="7"/>
    </row>
    <row r="27" spans="1:17" x14ac:dyDescent="0.35">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73</v>
      </c>
      <c r="K27" s="39">
        <v>30</v>
      </c>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t="s">
        <v>73</v>
      </c>
      <c r="K28" s="39">
        <v>30</v>
      </c>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t="s">
        <v>73</v>
      </c>
      <c r="K29" s="39">
        <v>30</v>
      </c>
      <c r="L29" s="39"/>
      <c r="O29" s="35"/>
      <c r="Q29" s="7"/>
    </row>
    <row r="30" spans="1:17" x14ac:dyDescent="0.35">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c r="M30" s="45" t="s">
        <v>74</v>
      </c>
      <c r="O30" s="35"/>
      <c r="Q30" s="7"/>
    </row>
    <row r="31" spans="1:17" x14ac:dyDescent="0.35">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c r="M31" s="45" t="s">
        <v>80</v>
      </c>
      <c r="O31" s="35"/>
      <c r="Q31" s="7"/>
    </row>
    <row r="32" spans="1:17" x14ac:dyDescent="0.35">
      <c r="A32" s="23"/>
      <c r="H32" s="7"/>
      <c r="I32" s="7"/>
      <c r="J32" s="7"/>
      <c r="K32" s="39"/>
      <c r="L32" s="39"/>
      <c r="Q32" s="7"/>
    </row>
    <row r="33" spans="10:12" x14ac:dyDescent="0.35">
      <c r="J33" s="2" t="s">
        <v>68</v>
      </c>
      <c r="K33" s="39">
        <f>SUM(K2:K32)</f>
        <v>900</v>
      </c>
      <c r="L33" s="39">
        <f>SUM(L2:L32)</f>
        <v>51</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F4">
    <cfRule type="expression" dxfId="27" priority="3">
      <formula>$C2="Feiertag"</formula>
    </cfRule>
    <cfRule type="expression" dxfId="26" priority="4">
      <formula>WEEKDAY($A2,2)&gt;=6</formula>
    </cfRule>
  </conditionalFormatting>
  <conditionalFormatting sqref="A5:I31">
    <cfRule type="expression" dxfId="25" priority="1">
      <formula>$C5="Feiertag"</formula>
    </cfRule>
    <cfRule type="expression" dxfId="24" priority="2">
      <formula>WEEKDAY($A5,2)&gt;=6</formula>
    </cfRule>
  </conditionalFormatting>
  <conditionalFormatting sqref="G2:J2 G3:I4 J3:J31">
    <cfRule type="expression" dxfId="23" priority="13">
      <formula>$C2="Feiertag"</formula>
    </cfRule>
    <cfRule type="expression" dxfId="22" priority="1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topLeftCell="A10" zoomScaleNormal="100" workbookViewId="0">
      <selection activeCell="G37" sqref="G37"/>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73</v>
      </c>
      <c r="K2" s="39">
        <v>30</v>
      </c>
      <c r="L2" s="39">
        <v>17</v>
      </c>
      <c r="M2" s="25"/>
      <c r="O2" s="35"/>
      <c r="Q2" s="7"/>
    </row>
    <row r="3" spans="1:17" x14ac:dyDescent="0.35">
      <c r="A3" s="29">
        <v>46205</v>
      </c>
      <c r="B3" t="str">
        <f t="shared" ref="B3:B32" si="0">TEXT(A3,"TTT")</f>
        <v>Do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73</v>
      </c>
      <c r="K3" s="39">
        <v>30</v>
      </c>
      <c r="L3" s="39">
        <v>17</v>
      </c>
      <c r="M3" s="47" t="str">
        <f>Gesamt!A3</f>
        <v>Gerrit Wichers</v>
      </c>
      <c r="N3" s="47"/>
      <c r="O3" s="35"/>
      <c r="Q3" s="7"/>
    </row>
    <row r="4" spans="1:17" x14ac:dyDescent="0.35">
      <c r="A4" s="29">
        <v>46206</v>
      </c>
      <c r="B4" t="str">
        <f t="shared" si="0"/>
        <v>Fr</v>
      </c>
      <c r="D4" s="24">
        <v>0.29166666666666669</v>
      </c>
      <c r="E4" s="24">
        <v>0.5625</v>
      </c>
      <c r="G4" s="27">
        <f t="shared" si="1"/>
        <v>6.5</v>
      </c>
      <c r="H4" s="27">
        <f ca="1">IF(Q4&lt;&gt;"",Q4,IF(OR(C4="Feiertag",A4&lt;Gesamt!$B$11,A4&gt;Gesamt!$B$13,),0,INDIRECT("N"&amp;WEEKDAY(A4,2)+19)))</f>
        <v>6.5</v>
      </c>
      <c r="I4" s="27">
        <f t="shared" ca="1" si="2"/>
        <v>0</v>
      </c>
      <c r="J4" s="7" t="s">
        <v>73</v>
      </c>
      <c r="K4" s="39">
        <v>30</v>
      </c>
      <c r="L4" s="39">
        <v>17</v>
      </c>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 ca="1">SUM(I2:I32)</f>
        <v>-1.7763568394002505E-14</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C7" s="2" t="s">
        <v>22</v>
      </c>
      <c r="G7" s="27">
        <f t="shared" ca="1" si="1"/>
        <v>8</v>
      </c>
      <c r="H7" s="27">
        <f ca="1">IF(Q7&lt;&gt;"",Q7,IF(OR(C7="Feiertag",A7&lt;Gesamt!$B$11,A7&gt;Gesamt!$B$13,),0,INDIRECT("N"&amp;WEEKDAY(A7,2)+19)))</f>
        <v>8</v>
      </c>
      <c r="I7" s="27">
        <f t="shared" si="2"/>
        <v>0</v>
      </c>
      <c r="J7" s="7"/>
      <c r="K7" s="39"/>
      <c r="L7" s="39"/>
      <c r="M7" s="1" t="s">
        <v>59</v>
      </c>
      <c r="N7" s="27">
        <f ca="1">Gesamt!B9+SUM(Gesamt!E2:E8)-SUM(Gesamt!J2:J8)</f>
        <v>-1.8474111129762605E-13</v>
      </c>
      <c r="O7" s="35"/>
      <c r="Q7" s="7"/>
    </row>
    <row r="8" spans="1:17" x14ac:dyDescent="0.35">
      <c r="A8" s="29">
        <v>46210</v>
      </c>
      <c r="B8" t="str">
        <f t="shared" si="0"/>
        <v>Di</v>
      </c>
      <c r="C8" s="2" t="s">
        <v>22</v>
      </c>
      <c r="G8" s="27">
        <f t="shared" ca="1" si="1"/>
        <v>8</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C9" s="2" t="s">
        <v>22</v>
      </c>
      <c r="G9" s="27">
        <f t="shared" ca="1" si="1"/>
        <v>8</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C10" s="2" t="s">
        <v>22</v>
      </c>
      <c r="G10" s="27">
        <f t="shared" ca="1" si="1"/>
        <v>8</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C11" s="2" t="s">
        <v>22</v>
      </c>
      <c r="G11" s="27">
        <f t="shared" ca="1" si="1"/>
        <v>6.5</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10</v>
      </c>
      <c r="O13" s="35"/>
      <c r="Q13" s="7"/>
    </row>
    <row r="14" spans="1:17" x14ac:dyDescent="0.35">
      <c r="A14" s="29">
        <v>46216</v>
      </c>
      <c r="B14" t="str">
        <f t="shared" si="0"/>
        <v>Mo</v>
      </c>
      <c r="C14" s="2" t="s">
        <v>22</v>
      </c>
      <c r="G14" s="27">
        <f t="shared" ca="1" si="1"/>
        <v>8</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C15" s="2" t="s">
        <v>22</v>
      </c>
      <c r="G15" s="27">
        <f t="shared" ca="1" si="1"/>
        <v>8</v>
      </c>
      <c r="H15" s="27">
        <f ca="1">IF(Q15&lt;&gt;"",Q15,IF(OR(C15="Feiertag",A15&lt;Gesamt!$B$11,A15&gt;Gesamt!$B$13,),0,INDIRECT("N"&amp;WEEKDAY(A15,2)+19)))</f>
        <v>8</v>
      </c>
      <c r="I15" s="27">
        <f t="shared" si="2"/>
        <v>0</v>
      </c>
      <c r="J15" s="7"/>
      <c r="K15" s="39"/>
      <c r="L15" s="39"/>
      <c r="M15" s="1" t="s">
        <v>58</v>
      </c>
      <c r="N15">
        <f>Gesamt!B5+Gesamt!B7-SUM(Gesamt!G2:G8)</f>
        <v>17</v>
      </c>
      <c r="O15" s="35"/>
      <c r="Q15" s="7"/>
    </row>
    <row r="16" spans="1:17" x14ac:dyDescent="0.35">
      <c r="A16" s="29">
        <v>46218</v>
      </c>
      <c r="B16" t="str">
        <f t="shared" si="0"/>
        <v>Mi</v>
      </c>
      <c r="C16" s="2" t="s">
        <v>22</v>
      </c>
      <c r="G16" s="27">
        <f t="shared" ca="1" si="1"/>
        <v>8</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C17" s="2" t="s">
        <v>22</v>
      </c>
      <c r="G17" s="27">
        <f t="shared" ca="1" si="1"/>
        <v>8</v>
      </c>
      <c r="H17" s="27">
        <f ca="1">IF(Q17&lt;&gt;"",Q17,IF(OR(C17="Feiertag",A17&lt;Gesamt!$B$11,A17&gt;Gesamt!$B$13,),0,INDIRECT("N"&amp;WEEKDAY(A17,2)+19)))</f>
        <v>8</v>
      </c>
      <c r="I17" s="27">
        <f t="shared" si="2"/>
        <v>0</v>
      </c>
      <c r="J17" s="7"/>
      <c r="K17" s="39"/>
      <c r="L17" s="39"/>
      <c r="M17" s="1" t="s">
        <v>50</v>
      </c>
      <c r="N17" s="27">
        <f ca="1">SUM(G2:G32)</f>
        <v>176.5</v>
      </c>
      <c r="O17" s="46">
        <f>176.5-38.5*2</f>
        <v>99.5</v>
      </c>
      <c r="Q17" s="7"/>
    </row>
    <row r="18" spans="1:17" x14ac:dyDescent="0.35">
      <c r="A18" s="29">
        <v>46220</v>
      </c>
      <c r="B18" t="str">
        <f t="shared" si="0"/>
        <v>Fr</v>
      </c>
      <c r="C18" s="2" t="s">
        <v>22</v>
      </c>
      <c r="G18" s="27">
        <f t="shared" ca="1" si="1"/>
        <v>6.5</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v>30</v>
      </c>
      <c r="L20" s="39">
        <v>17</v>
      </c>
      <c r="M20" s="6" t="s">
        <v>43</v>
      </c>
      <c r="N20" s="7">
        <f>Gesamt!C30</f>
        <v>8</v>
      </c>
      <c r="O20" s="35"/>
      <c r="Q20" s="7"/>
    </row>
    <row r="21" spans="1:17" x14ac:dyDescent="0.35">
      <c r="A21" s="29">
        <v>46223</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73</v>
      </c>
      <c r="K21" s="39">
        <v>30</v>
      </c>
      <c r="L21" s="39">
        <v>17</v>
      </c>
      <c r="M21" s="6" t="s">
        <v>44</v>
      </c>
      <c r="N21" s="7">
        <f>Gesamt!C31</f>
        <v>8</v>
      </c>
      <c r="O21" s="35"/>
      <c r="Q21" s="7"/>
    </row>
    <row r="22" spans="1:17" x14ac:dyDescent="0.35">
      <c r="A22" s="29">
        <v>46224</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30</v>
      </c>
      <c r="L22" s="39">
        <v>17</v>
      </c>
      <c r="M22" s="6" t="s">
        <v>45</v>
      </c>
      <c r="N22" s="7">
        <f>Gesamt!C32</f>
        <v>8</v>
      </c>
      <c r="O22" s="35"/>
      <c r="Q22" s="7"/>
    </row>
    <row r="23" spans="1:17" x14ac:dyDescent="0.35">
      <c r="A23" s="29">
        <v>46225</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v>17</v>
      </c>
      <c r="M23" s="6" t="s">
        <v>46</v>
      </c>
      <c r="N23" s="7">
        <f>Gesamt!C33</f>
        <v>8</v>
      </c>
      <c r="O23" s="35"/>
      <c r="Q23" s="7"/>
    </row>
    <row r="24" spans="1:17" x14ac:dyDescent="0.35">
      <c r="A24" s="29">
        <v>46226</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v>17</v>
      </c>
      <c r="M24" s="6" t="s">
        <v>47</v>
      </c>
      <c r="N24" s="7">
        <f>Gesamt!C34</f>
        <v>6.5</v>
      </c>
      <c r="O24" s="35"/>
      <c r="Q24" s="7"/>
    </row>
    <row r="25" spans="1:17" x14ac:dyDescent="0.35">
      <c r="A25" s="29">
        <v>46227</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73</v>
      </c>
      <c r="K25" s="39">
        <v>30</v>
      </c>
      <c r="L25" s="39">
        <v>17</v>
      </c>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t="s">
        <v>73</v>
      </c>
      <c r="K26" s="39">
        <v>30</v>
      </c>
      <c r="L26" s="39">
        <v>17</v>
      </c>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t="s">
        <v>73</v>
      </c>
      <c r="K27" s="39">
        <v>30</v>
      </c>
      <c r="L27" s="39">
        <v>17</v>
      </c>
      <c r="M27" s="13" t="s">
        <v>54</v>
      </c>
      <c r="N27" s="27">
        <f>SUM(N20:N26)</f>
        <v>38.5</v>
      </c>
      <c r="O27" s="35"/>
      <c r="Q27" s="7"/>
    </row>
    <row r="28" spans="1:17" x14ac:dyDescent="0.35">
      <c r="A28" s="29">
        <v>46230</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30</v>
      </c>
      <c r="L28" s="39">
        <v>17</v>
      </c>
      <c r="O28" s="35"/>
      <c r="Q28" s="7"/>
    </row>
    <row r="29" spans="1:17" x14ac:dyDescent="0.35">
      <c r="A29" s="29">
        <v>46231</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73</v>
      </c>
      <c r="K29" s="39">
        <v>30</v>
      </c>
      <c r="L29" s="39">
        <v>17</v>
      </c>
      <c r="O29" s="35"/>
      <c r="Q29" s="7"/>
    </row>
    <row r="30" spans="1:17" x14ac:dyDescent="0.35">
      <c r="A30" s="29">
        <v>46232</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v>17</v>
      </c>
      <c r="O30" s="35"/>
      <c r="Q30" s="7"/>
    </row>
    <row r="31" spans="1:17" x14ac:dyDescent="0.35">
      <c r="A31" s="29">
        <v>46233</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v>17</v>
      </c>
      <c r="O31" s="35"/>
      <c r="Q31" s="7"/>
    </row>
    <row r="32" spans="1:17" x14ac:dyDescent="0.35">
      <c r="A32" s="29">
        <v>46234</v>
      </c>
      <c r="B32" t="str">
        <f t="shared" si="0"/>
        <v>Fr</v>
      </c>
      <c r="D32" s="24">
        <v>0.29166666666666669</v>
      </c>
      <c r="E32" s="24">
        <v>0.5625</v>
      </c>
      <c r="G32" s="27">
        <f t="shared" si="1"/>
        <v>6.5</v>
      </c>
      <c r="H32" s="27">
        <f ca="1">IF(Q32&lt;&gt;"",Q32,IF(OR(C32="Feiertag",A32&lt;Gesamt!$B$11,A32&gt;Gesamt!$B$13,),0,INDIRECT("N"&amp;WEEKDAY(A32,2)+19)))</f>
        <v>6.5</v>
      </c>
      <c r="I32" s="27">
        <f t="shared" ca="1" si="2"/>
        <v>0</v>
      </c>
      <c r="J32" s="7" t="s">
        <v>73</v>
      </c>
      <c r="K32" s="39">
        <v>30</v>
      </c>
      <c r="L32" s="39">
        <v>17</v>
      </c>
      <c r="O32" s="35"/>
      <c r="Q32" s="7"/>
    </row>
    <row r="33" spans="10:12" x14ac:dyDescent="0.35">
      <c r="K33" s="39"/>
      <c r="L33" s="39"/>
    </row>
    <row r="34" spans="10:12" x14ac:dyDescent="0.35">
      <c r="J34" s="2" t="s">
        <v>68</v>
      </c>
      <c r="K34" s="39">
        <f>SUM(K2:K33)</f>
        <v>480</v>
      </c>
      <c r="L34" s="39">
        <f>SUM(L2:L33)</f>
        <v>272</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1:F25">
    <cfRule type="expression" dxfId="21" priority="5">
      <formula>$C21="Feiertag"</formula>
    </cfRule>
    <cfRule type="expression" dxfId="20" priority="6">
      <formula>WEEKDAY($A21,2)&gt;=6</formula>
    </cfRule>
  </conditionalFormatting>
  <conditionalFormatting sqref="A26:I32">
    <cfRule type="expression" dxfId="19" priority="3">
      <formula>$C26="Feiertag"</formula>
    </cfRule>
    <cfRule type="expression" dxfId="18" priority="4">
      <formula>WEEKDAY($A26,2)&gt;=6</formula>
    </cfRule>
  </conditionalFormatting>
  <conditionalFormatting sqref="A2:J20">
    <cfRule type="expression" dxfId="17" priority="1">
      <formula>$C2="Feiertag"</formula>
    </cfRule>
    <cfRule type="expression" dxfId="16" priority="2">
      <formula>WEEKDAY($A2,2)&gt;=6</formula>
    </cfRule>
  </conditionalFormatting>
  <conditionalFormatting sqref="G21:J21 G22:I25 J22:J32">
    <cfRule type="expression" dxfId="15" priority="7">
      <formula>$C21="Feiertag"</formula>
    </cfRule>
    <cfRule type="expression" dxfId="14" priority="8">
      <formula>WEEKDAY($A21,2)&gt;=6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abSelected="1" topLeftCell="A10" zoomScaleNormal="100" workbookViewId="0">
      <selection activeCell="O17" sqref="O17"/>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35.299999999999997</v>
      </c>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v>35.299999999999997</v>
      </c>
      <c r="L3" s="39"/>
      <c r="M3" s="47" t="str">
        <f>Gesamt!A3</f>
        <v>Gerrit Wichers</v>
      </c>
      <c r="N3" s="47"/>
      <c r="O3" s="35"/>
      <c r="Q3" s="7"/>
    </row>
    <row r="4" spans="1:17" x14ac:dyDescent="0.35">
      <c r="A4" s="29">
        <v>46237</v>
      </c>
      <c r="B4" t="str">
        <f t="shared" si="0"/>
        <v>Mo</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81</v>
      </c>
      <c r="K4" s="39">
        <v>35.299999999999997</v>
      </c>
      <c r="L4" s="39"/>
      <c r="O4" s="35"/>
      <c r="Q4" s="7"/>
    </row>
    <row r="5" spans="1:17" x14ac:dyDescent="0.35">
      <c r="A5" s="29">
        <v>46238</v>
      </c>
      <c r="B5" t="str">
        <f t="shared" si="0"/>
        <v>Di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81</v>
      </c>
      <c r="K5" s="39">
        <v>35.299999999999997</v>
      </c>
      <c r="L5" s="39"/>
      <c r="M5" s="1" t="s">
        <v>8</v>
      </c>
      <c r="N5" s="27">
        <f ca="1">SUM(I2:I32)</f>
        <v>-1.2434497875801753E-14</v>
      </c>
      <c r="O5" s="35"/>
      <c r="Q5" s="7"/>
    </row>
    <row r="6" spans="1:17" x14ac:dyDescent="0.35">
      <c r="A6" s="29">
        <v>46239</v>
      </c>
      <c r="B6" t="str">
        <f t="shared" si="0"/>
        <v>Mi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81</v>
      </c>
      <c r="K6" s="39">
        <v>35.299999999999997</v>
      </c>
      <c r="L6" s="39"/>
      <c r="M6" s="25"/>
      <c r="O6" s="35"/>
      <c r="Q6" s="7"/>
    </row>
    <row r="7" spans="1:17" x14ac:dyDescent="0.35">
      <c r="A7" s="29">
        <v>46240</v>
      </c>
      <c r="B7" t="str">
        <f t="shared" si="0"/>
        <v>Do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81</v>
      </c>
      <c r="K7" s="39">
        <v>35.299999999999997</v>
      </c>
      <c r="L7" s="39"/>
      <c r="M7" s="1" t="s">
        <v>59</v>
      </c>
      <c r="N7" s="27">
        <f ca="1">Gesamt!B9+SUM(Gesamt!E2:E9)-SUM(Gesamt!J2:J9)</f>
        <v>-1.971756091734278E-13</v>
      </c>
      <c r="O7" s="35"/>
      <c r="Q7" s="7"/>
    </row>
    <row r="8" spans="1:17" x14ac:dyDescent="0.35">
      <c r="A8" s="29">
        <v>46241</v>
      </c>
      <c r="B8" t="str">
        <f t="shared" si="0"/>
        <v>Fr</v>
      </c>
      <c r="D8" s="24">
        <v>0.29166666666666669</v>
      </c>
      <c r="E8" s="24">
        <v>0.5625</v>
      </c>
      <c r="G8" s="27">
        <f t="shared" si="1"/>
        <v>6.5</v>
      </c>
      <c r="H8" s="27">
        <f ca="1">IF(Q8&lt;&gt;"",Q8,IF(OR(C8="Feiertag",A8&lt;Gesamt!$B$11,A8&gt;Gesamt!$B$13,),0,INDIRECT("N"&amp;WEEKDAY(A8,2)+19)))</f>
        <v>6.5</v>
      </c>
      <c r="I8" s="27">
        <f t="shared" ca="1" si="2"/>
        <v>0</v>
      </c>
      <c r="J8" s="7" t="s">
        <v>81</v>
      </c>
      <c r="K8" s="39">
        <v>35.299999999999997</v>
      </c>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t="s">
        <v>81</v>
      </c>
      <c r="K9" s="39">
        <v>35.299999999999997</v>
      </c>
      <c r="L9" s="39"/>
      <c r="M9" s="1" t="s">
        <v>25</v>
      </c>
      <c r="N9">
        <f>COUNTIF(C2:C32,"krank")</f>
        <v>11</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t="s">
        <v>81</v>
      </c>
      <c r="K10" s="39">
        <v>35.299999999999997</v>
      </c>
      <c r="L10" s="39"/>
      <c r="M10" s="25"/>
      <c r="O10" s="35"/>
      <c r="Q10" s="7"/>
    </row>
    <row r="11" spans="1:17" x14ac:dyDescent="0.35">
      <c r="A11" s="29">
        <v>46244</v>
      </c>
      <c r="B11" t="str">
        <f t="shared" si="0"/>
        <v>Mo</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81</v>
      </c>
      <c r="K11" s="39">
        <v>35.299999999999997</v>
      </c>
      <c r="L11" s="39"/>
      <c r="M11" s="1" t="s">
        <v>57</v>
      </c>
      <c r="N11" s="28">
        <f>SUM(Gesamt!F2:F9)</f>
        <v>11</v>
      </c>
      <c r="O11" s="35"/>
      <c r="Q11" s="7"/>
    </row>
    <row r="12" spans="1:17" x14ac:dyDescent="0.35">
      <c r="A12" s="29">
        <v>46245</v>
      </c>
      <c r="B12" t="str">
        <f t="shared" si="0"/>
        <v>Di</v>
      </c>
      <c r="C12" s="2" t="s">
        <v>22</v>
      </c>
      <c r="G12" s="27">
        <f t="shared" ca="1" si="1"/>
        <v>8</v>
      </c>
      <c r="H12" s="27">
        <f ca="1">IF(Q12&lt;&gt;"",Q12,IF(OR(C12="Feiertag",A12&lt;Gesamt!$B$11,A12&gt;Gesamt!$B$13,),0,INDIRECT("N"&amp;WEEKDAY(A12,2)+19)))</f>
        <v>8</v>
      </c>
      <c r="I12" s="27">
        <f t="shared" si="2"/>
        <v>0</v>
      </c>
      <c r="J12" s="7" t="s">
        <v>81</v>
      </c>
      <c r="K12" s="39">
        <v>35.299999999999997</v>
      </c>
      <c r="L12" s="39"/>
      <c r="M12" s="25"/>
      <c r="O12" s="35"/>
      <c r="Q12" s="7"/>
    </row>
    <row r="13" spans="1:17" x14ac:dyDescent="0.35">
      <c r="A13" s="29">
        <v>46246</v>
      </c>
      <c r="B13" t="str">
        <f t="shared" si="0"/>
        <v>Mi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81</v>
      </c>
      <c r="K13" s="39">
        <v>35.299999999999997</v>
      </c>
      <c r="L13" s="39"/>
      <c r="M13" s="1" t="s">
        <v>26</v>
      </c>
      <c r="N13">
        <f>COUNTIF(C2:C32, "Urlaub")+COUNTIF(C2:C32,"Urlaub halber Tag")/2</f>
        <v>1</v>
      </c>
      <c r="O13" s="35"/>
      <c r="Q13" s="7"/>
    </row>
    <row r="14" spans="1:17" x14ac:dyDescent="0.35">
      <c r="A14" s="29">
        <v>46247</v>
      </c>
      <c r="B14" t="str">
        <f t="shared" si="0"/>
        <v>Do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81</v>
      </c>
      <c r="K14" s="39">
        <v>35.299999999999997</v>
      </c>
      <c r="L14" s="39"/>
      <c r="M14" s="25"/>
      <c r="O14" s="35"/>
      <c r="Q14" s="7"/>
    </row>
    <row r="15" spans="1:17" x14ac:dyDescent="0.35">
      <c r="A15" s="29">
        <v>46248</v>
      </c>
      <c r="B15" t="str">
        <f t="shared" si="0"/>
        <v>Fr</v>
      </c>
      <c r="D15" s="24">
        <v>0.29166666666666669</v>
      </c>
      <c r="E15" s="24">
        <v>0.5625</v>
      </c>
      <c r="G15" s="27">
        <f t="shared" si="1"/>
        <v>6.5</v>
      </c>
      <c r="H15" s="27">
        <f ca="1">IF(Q15&lt;&gt;"",Q15,IF(OR(C15="Feiertag",A15&lt;Gesamt!$B$11,A15&gt;Gesamt!$B$13,),0,INDIRECT("N"&amp;WEEKDAY(A15,2)+19)))</f>
        <v>6.5</v>
      </c>
      <c r="I15" s="27">
        <f t="shared" ca="1" si="2"/>
        <v>0</v>
      </c>
      <c r="J15" s="7" t="s">
        <v>81</v>
      </c>
      <c r="K15" s="39">
        <v>35.299999999999997</v>
      </c>
      <c r="L15" s="39"/>
      <c r="M15" s="1" t="s">
        <v>58</v>
      </c>
      <c r="N15">
        <f>Gesamt!B5+Gesamt!B7-SUM(Gesamt!G2:G9)</f>
        <v>16</v>
      </c>
      <c r="O15" s="35"/>
      <c r="Q15" s="7"/>
    </row>
    <row r="16" spans="1:17" x14ac:dyDescent="0.35">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t="s">
        <v>83</v>
      </c>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 ca="1">SUM(G2:G32)</f>
        <v>162</v>
      </c>
      <c r="O17" s="35">
        <f>162-(38.5*2+8+8)</f>
        <v>69</v>
      </c>
      <c r="Q17" s="7"/>
    </row>
    <row r="18" spans="1:17" x14ac:dyDescent="0.35">
      <c r="A18" s="29">
        <v>46251</v>
      </c>
      <c r="B18" t="str">
        <f t="shared" si="0"/>
        <v>Mo</v>
      </c>
      <c r="C18" s="2" t="s">
        <v>63</v>
      </c>
      <c r="G18" s="27">
        <f t="shared" ca="1" si="1"/>
        <v>8</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C19" s="2" t="s">
        <v>63</v>
      </c>
      <c r="G19" s="27">
        <f t="shared" ca="1" si="1"/>
        <v>8</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C20" s="2" t="s">
        <v>63</v>
      </c>
      <c r="G20" s="27">
        <f t="shared" ca="1" si="1"/>
        <v>8</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C21" s="2" t="s">
        <v>63</v>
      </c>
      <c r="G21" s="27">
        <f t="shared" ca="1" si="1"/>
        <v>8</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C22" s="2" t="s">
        <v>63</v>
      </c>
      <c r="G22" s="27">
        <f t="shared" ca="1" si="1"/>
        <v>6.5</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C25" s="2" t="s">
        <v>63</v>
      </c>
      <c r="G25" s="27">
        <f t="shared" ca="1" si="1"/>
        <v>8</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C26" s="2" t="s">
        <v>63</v>
      </c>
      <c r="G26" s="27">
        <f t="shared" ca="1" si="1"/>
        <v>8</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C27" s="2" t="s">
        <v>63</v>
      </c>
      <c r="G27" s="27">
        <f t="shared" ca="1" si="1"/>
        <v>8</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C28" s="2" t="s">
        <v>63</v>
      </c>
      <c r="G28" s="27">
        <f t="shared" ca="1" si="1"/>
        <v>8</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C29" s="2" t="s">
        <v>63</v>
      </c>
      <c r="G29" s="27">
        <f t="shared" ca="1" si="1"/>
        <v>6.5</v>
      </c>
      <c r="H29" s="27">
        <f ca="1">IF(Q29&lt;&gt;"",Q29,IF(OR(C29="Feiertag",A29&lt;Gesamt!$B$11,A29&gt;Gesamt!$B$13,),0,INDIRECT("N"&amp;WEEKDAY(A29,2)+19)))</f>
        <v>6.5</v>
      </c>
      <c r="I29" s="27">
        <f t="shared" si="2"/>
        <v>0</v>
      </c>
      <c r="J29" s="7"/>
      <c r="K29" s="39"/>
      <c r="L29" s="39"/>
      <c r="M29" s="42" t="s">
        <v>82</v>
      </c>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C32" s="2" t="s">
        <v>63</v>
      </c>
      <c r="G32" s="27">
        <f t="shared" ca="1" si="1"/>
        <v>8</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494.2000000000001</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4:F8">
    <cfRule type="expression" dxfId="13" priority="3">
      <formula>$C4="Feiertag"</formula>
    </cfRule>
    <cfRule type="expression" dxfId="12" priority="4">
      <formula>WEEKDAY($A4,2)&gt;=6</formula>
    </cfRule>
  </conditionalFormatting>
  <conditionalFormatting sqref="A9:I15">
    <cfRule type="expression" dxfId="11" priority="1">
      <formula>$C9="Feiertag"</formula>
    </cfRule>
    <cfRule type="expression" dxfId="10" priority="2">
      <formula>WEEKDAY($A9,2)&gt;=6</formula>
    </cfRule>
  </conditionalFormatting>
  <conditionalFormatting sqref="A2:J3 G4:J4 G5:I8 J5:J15 A16:J32">
    <cfRule type="expression" dxfId="9" priority="5">
      <formula>$C2="Feiertag"</formula>
    </cfRule>
    <cfRule type="expression" dxfId="8" priority="6">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topLeftCell="A7" zoomScaleNormal="100" workbookViewId="0">
      <selection activeCell="D11" sqref="D11"/>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C2" s="2" t="s">
        <v>63</v>
      </c>
      <c r="G2" s="27">
        <f ca="1">IF(OR(C2="krank",C2="Urlaub",C2="Sonderurlaub"), H2,IF(D2&lt;=E2,(E2-D2-F2)*24,(1-D2+E2-F2)*24)+IF(C2= "Urlaub halber Tag",H2/2,0)+IF(AND(C2="Urlaub halber Tag", J2="halber Arbeitstag"),H2/2,0))</f>
        <v>8</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C3" s="2" t="s">
        <v>63</v>
      </c>
      <c r="G3" s="27">
        <f t="shared" ref="G3:G31" ca="1" si="1">IF(OR(C3="krank",C3="Urlaub",C3="Sonderurlaub"), H3,IF(D3&lt;=E3,(E3-D3-F3)*24,(1-D3+E3-F3)*24)+IF(C3= "Urlaub halber Tag",H3/2,0)+IF(AND(C3="Urlaub halber Tag", J3="halber Arbeitstag"),H3/2,0))</f>
        <v>8</v>
      </c>
      <c r="H3" s="27">
        <f ca="1">IF(Q3&lt;&gt;"",Q3,IF(OR(C3="Feiertag",A3&lt;Gesamt!$B$11,A3&gt;Gesamt!$B$13,),0,INDIRECT("N"&amp;WEEKDAY(A3,2)+19)))</f>
        <v>8</v>
      </c>
      <c r="I3" s="27">
        <f t="shared" ref="I3:I31" si="2">IF(OR(C3="Überstundenabbau",C3="Urlaub halber Tag",E3&lt;&gt;""),G3-H3,0)</f>
        <v>0</v>
      </c>
      <c r="J3" s="7"/>
      <c r="K3" s="39"/>
      <c r="L3" s="39"/>
      <c r="M3" s="47" t="str">
        <f>Gesamt!A3</f>
        <v>Gerrit Wichers</v>
      </c>
      <c r="N3" s="47"/>
      <c r="O3" s="35"/>
      <c r="Q3" s="7"/>
    </row>
    <row r="4" spans="1:17" x14ac:dyDescent="0.35">
      <c r="A4" s="29">
        <v>46268</v>
      </c>
      <c r="B4" t="str">
        <f t="shared" si="0"/>
        <v>Do</v>
      </c>
      <c r="C4" s="2" t="s">
        <v>63</v>
      </c>
      <c r="G4" s="27">
        <f t="shared" ca="1" si="1"/>
        <v>8</v>
      </c>
      <c r="H4" s="27">
        <f ca="1">IF(Q4&lt;&gt;"",Q4,IF(OR(C4="Feiertag",A4&lt;Gesamt!$B$11,A4&gt;Gesamt!$B$13,),0,INDIRECT("N"&amp;WEEKDAY(A4,2)+19)))</f>
        <v>8</v>
      </c>
      <c r="I4" s="27">
        <f t="shared" si="2"/>
        <v>0</v>
      </c>
      <c r="J4" s="7"/>
      <c r="K4" s="39"/>
      <c r="L4" s="39"/>
      <c r="O4" s="35"/>
      <c r="Q4" s="7"/>
    </row>
    <row r="5" spans="1:17" x14ac:dyDescent="0.35">
      <c r="A5" s="29">
        <v>46269</v>
      </c>
      <c r="B5" t="str">
        <f t="shared" si="0"/>
        <v>Fr</v>
      </c>
      <c r="C5" s="2" t="s">
        <v>63</v>
      </c>
      <c r="G5" s="27">
        <f t="shared" ca="1" si="1"/>
        <v>6.5</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-1.971756091734278E-13</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4</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15</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16</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 ca="1">SUM(G2:G32)</f>
        <v>30.5</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7" t="str">
        <f>Gesamt!A3</f>
        <v>Gerrit Wichers</v>
      </c>
      <c r="N3" s="47"/>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-1.971756091734278E-13</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15</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16</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7" t="str">
        <f>Gesamt!A3</f>
        <v>Gerrit Wichers</v>
      </c>
      <c r="N3" s="47"/>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-1.971756091734278E-13</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15</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16</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7" t="str">
        <f>Gesamt!A3</f>
        <v>Gerrit Wichers</v>
      </c>
      <c r="N3" s="47"/>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-1.971756091734278E-13</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15</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16</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5" sqref="B5"/>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 ca="1">Januar!N5</f>
        <v>-2.1316282072803006E-14</v>
      </c>
      <c r="F2" s="8">
        <f>Januar!N9</f>
        <v>0</v>
      </c>
      <c r="G2" s="2">
        <f>Januar!N13</f>
        <v>0</v>
      </c>
      <c r="H2" s="7">
        <f>Januar!N17</f>
        <v>115.49999999999999</v>
      </c>
      <c r="I2" s="7"/>
      <c r="J2" s="7">
        <v>0</v>
      </c>
      <c r="Z2" s="2" t="b">
        <v>1</v>
      </c>
    </row>
    <row r="3" spans="1:26" ht="15" customHeight="1" x14ac:dyDescent="0.35">
      <c r="A3" s="48" t="s">
        <v>72</v>
      </c>
      <c r="B3" s="48"/>
      <c r="D3" s="6" t="s">
        <v>10</v>
      </c>
      <c r="E3" s="7">
        <f ca="1">Februar!N5</f>
        <v>-2.8421709430404007E-14</v>
      </c>
      <c r="F3" s="8">
        <f>Februar!N9</f>
        <v>0</v>
      </c>
      <c r="G3" s="2">
        <f>Februar!N13</f>
        <v>0</v>
      </c>
      <c r="H3" s="7">
        <f>Februar!N17</f>
        <v>153.99999999999997</v>
      </c>
      <c r="I3" s="7"/>
      <c r="J3" s="7">
        <v>0</v>
      </c>
      <c r="Z3" s="2" t="b">
        <v>1</v>
      </c>
    </row>
    <row r="4" spans="1:26" x14ac:dyDescent="0.35">
      <c r="D4" s="6" t="s">
        <v>11</v>
      </c>
      <c r="E4" s="7">
        <f ca="1">März!N5</f>
        <v>-3.1974423109204508E-14</v>
      </c>
      <c r="F4" s="8">
        <f>März!N9</f>
        <v>0</v>
      </c>
      <c r="G4" s="2">
        <f>März!N13</f>
        <v>0</v>
      </c>
      <c r="H4" s="7">
        <f>März!N17</f>
        <v>169.99999999999997</v>
      </c>
      <c r="I4" s="7"/>
      <c r="J4" s="7">
        <v>0</v>
      </c>
      <c r="Z4" s="2" t="b">
        <v>1</v>
      </c>
    </row>
    <row r="5" spans="1:26" x14ac:dyDescent="0.35">
      <c r="A5" s="1" t="s">
        <v>28</v>
      </c>
      <c r="B5" s="2">
        <v>24</v>
      </c>
      <c r="D5" s="6" t="s">
        <v>12</v>
      </c>
      <c r="E5" s="7">
        <f ca="1">April!N5</f>
        <v>-3.0198066269804258E-14</v>
      </c>
      <c r="F5" s="8">
        <f>April!N9</f>
        <v>0</v>
      </c>
      <c r="G5" s="2">
        <f>April!N13</f>
        <v>0</v>
      </c>
      <c r="H5" s="7">
        <f>April!N17</f>
        <v>162</v>
      </c>
      <c r="I5" s="7"/>
      <c r="J5" s="7">
        <v>0</v>
      </c>
      <c r="Z5" s="2" t="b">
        <v>1</v>
      </c>
    </row>
    <row r="6" spans="1:26" x14ac:dyDescent="0.35">
      <c r="D6" s="6" t="s">
        <v>13</v>
      </c>
      <c r="E6" s="7">
        <f ca="1">Mai!N5</f>
        <v>-2.4868995751603507E-14</v>
      </c>
      <c r="F6" s="8">
        <f>Mai!N9</f>
        <v>0</v>
      </c>
      <c r="G6" s="2">
        <f>Mai!N13</f>
        <v>0</v>
      </c>
      <c r="H6" s="7">
        <f>Mai!N17</f>
        <v>138</v>
      </c>
      <c r="I6" s="7"/>
      <c r="J6" s="7">
        <v>0</v>
      </c>
      <c r="Z6" s="2" t="b">
        <v>0</v>
      </c>
    </row>
    <row r="7" spans="1:26" x14ac:dyDescent="0.35">
      <c r="A7" s="1" t="s">
        <v>30</v>
      </c>
      <c r="B7" s="2">
        <v>4</v>
      </c>
      <c r="D7" s="6" t="s">
        <v>14</v>
      </c>
      <c r="E7" s="7">
        <f ca="1">Juni!N5</f>
        <v>-3.0198066269804258E-14</v>
      </c>
      <c r="F7" s="8">
        <f>Juni!N9</f>
        <v>0</v>
      </c>
      <c r="G7" s="2">
        <f>Juni!N13</f>
        <v>1</v>
      </c>
      <c r="H7" s="7">
        <f ca="1">Juni!N17</f>
        <v>162</v>
      </c>
      <c r="I7" s="7"/>
      <c r="J7" s="7">
        <v>0</v>
      </c>
      <c r="Z7" s="2" t="b">
        <v>0</v>
      </c>
    </row>
    <row r="8" spans="1:26" x14ac:dyDescent="0.35">
      <c r="D8" s="6" t="s">
        <v>15</v>
      </c>
      <c r="E8" s="7">
        <f ca="1">Juli!N5</f>
        <v>-1.7763568394002505E-14</v>
      </c>
      <c r="F8" s="8">
        <f>Juli!N9</f>
        <v>0</v>
      </c>
      <c r="G8" s="2">
        <f>Juli!N13</f>
        <v>10</v>
      </c>
      <c r="H8" s="7">
        <f ca="1">Juli!N17</f>
        <v>176.5</v>
      </c>
      <c r="I8" s="7"/>
      <c r="J8" s="7">
        <v>0</v>
      </c>
    </row>
    <row r="9" spans="1:26" x14ac:dyDescent="0.35">
      <c r="A9" s="1" t="s">
        <v>29</v>
      </c>
      <c r="B9" s="2">
        <v>0</v>
      </c>
      <c r="D9" s="6" t="s">
        <v>16</v>
      </c>
      <c r="E9" s="7">
        <f ca="1">August!N5</f>
        <v>-1.2434497875801753E-14</v>
      </c>
      <c r="F9" s="8">
        <f>August!N9</f>
        <v>11</v>
      </c>
      <c r="G9" s="2">
        <f>August!N13</f>
        <v>1</v>
      </c>
      <c r="H9" s="7">
        <f ca="1">August!N17</f>
        <v>162</v>
      </c>
      <c r="I9" s="7"/>
      <c r="J9" s="7">
        <v>0</v>
      </c>
    </row>
    <row r="10" spans="1:26" x14ac:dyDescent="0.35">
      <c r="D10" s="6" t="s">
        <v>17</v>
      </c>
      <c r="E10" s="7">
        <f>September!N5</f>
        <v>0</v>
      </c>
      <c r="F10" s="8">
        <f>September!N9</f>
        <v>4</v>
      </c>
      <c r="G10" s="2">
        <f>September!N13</f>
        <v>0</v>
      </c>
      <c r="H10" s="7">
        <f ca="1">September!N17</f>
        <v>30.5</v>
      </c>
      <c r="I10" s="7"/>
      <c r="J10" s="7">
        <v>0</v>
      </c>
    </row>
    <row r="11" spans="1:26" x14ac:dyDescent="0.35">
      <c r="A11" s="3" t="s">
        <v>38</v>
      </c>
      <c r="B11" s="5">
        <v>46034</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-1.971756091734278E-13</v>
      </c>
      <c r="F15" s="8">
        <f>SUM(F2:F13)</f>
        <v>15</v>
      </c>
      <c r="G15" s="2">
        <f>SUM(G2:G13)</f>
        <v>12</v>
      </c>
      <c r="H15" s="7">
        <f ca="1">SUM(H2:H13)</f>
        <v>1270.5</v>
      </c>
      <c r="I15" s="7"/>
      <c r="J15" s="7">
        <f>SUM(J2:J13)</f>
        <v>0</v>
      </c>
    </row>
    <row r="16" spans="1:26" x14ac:dyDescent="0.35">
      <c r="A16" s="6" t="s">
        <v>9</v>
      </c>
      <c r="B16" s="7">
        <f>Januar!N27</f>
        <v>38.5</v>
      </c>
    </row>
    <row r="17" spans="1:7" x14ac:dyDescent="0.35">
      <c r="A17" s="6" t="s">
        <v>10</v>
      </c>
      <c r="B17" s="7">
        <f>Februar!N27</f>
        <v>38.5</v>
      </c>
      <c r="D17" s="4" t="s">
        <v>39</v>
      </c>
      <c r="E17" s="7">
        <f ca="1">SUM(E2:E13)+B9-J15</f>
        <v>-1.971756091734278E-13</v>
      </c>
    </row>
    <row r="18" spans="1:7" x14ac:dyDescent="0.35">
      <c r="A18" s="6" t="s">
        <v>11</v>
      </c>
      <c r="B18" s="7">
        <f>März!N27</f>
        <v>38.5</v>
      </c>
      <c r="D18" s="9" t="s">
        <v>40</v>
      </c>
      <c r="G18" s="2">
        <f>B5+B7-G15</f>
        <v>16</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9" t="s">
        <v>55</v>
      </c>
    </row>
    <row r="24" spans="19:20" x14ac:dyDescent="0.35">
      <c r="S24" s="49"/>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2026-09-14T14:02:28Z</dcterms:modified>
</cp:coreProperties>
</file>