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Montageliste Baustellen\"/>
    </mc:Choice>
  </mc:AlternateContent>
  <xr:revisionPtr revIDLastSave="0" documentId="13_ncr:1_{A33D6456-C5F8-46D6-BAA5-D62F635A0E7B}" xr6:coauthVersionLast="47" xr6:coauthVersionMax="47" xr10:uidLastSave="{00000000-0000-0000-0000-000000000000}"/>
  <bookViews>
    <workbookView xWindow="-120" yWindow="-120" windowWidth="29040" windowHeight="15720" xr2:uid="{5152FD2C-8974-411B-80A5-3FBCAD90613A}"/>
  </bookViews>
  <sheets>
    <sheet name="Projektkosten" sheetId="1" r:id="rId1"/>
    <sheet name="Nebenrechnung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Q11" i="1" l="1"/>
  <c r="C10" i="1"/>
  <c r="F10" i="1"/>
  <c r="F8" i="1"/>
  <c r="F11" i="1"/>
  <c r="P6" i="1"/>
  <c r="P7" i="1"/>
  <c r="P8" i="1"/>
  <c r="P9" i="1"/>
  <c r="P10" i="1"/>
  <c r="P11" i="1"/>
  <c r="P5" i="1"/>
  <c r="O6" i="1"/>
  <c r="O7" i="1"/>
  <c r="O8" i="1"/>
  <c r="O9" i="1"/>
  <c r="O10" i="1"/>
  <c r="O11" i="1"/>
  <c r="O5" i="1"/>
  <c r="K5" i="1"/>
  <c r="E11" i="1"/>
  <c r="F9" i="1"/>
  <c r="F6" i="1"/>
  <c r="F7" i="1"/>
  <c r="F5" i="1"/>
  <c r="R7" i="1"/>
  <c r="I13" i="1"/>
  <c r="J13" i="1"/>
  <c r="L13" i="1"/>
  <c r="M13" i="1"/>
  <c r="N13" i="1"/>
  <c r="R11" i="1"/>
  <c r="R10" i="1"/>
  <c r="H10" i="1"/>
  <c r="H9" i="1"/>
  <c r="H8" i="1"/>
  <c r="H6" i="1"/>
  <c r="H5" i="1"/>
  <c r="H13" i="1" s="1"/>
  <c r="F12" i="1"/>
  <c r="E10" i="1"/>
  <c r="E9" i="1"/>
  <c r="E8" i="1"/>
  <c r="E6" i="1"/>
  <c r="C12" i="1"/>
  <c r="B12" i="1"/>
  <c r="C7" i="1"/>
  <c r="C6" i="1"/>
  <c r="C5" i="1"/>
  <c r="D12" i="1"/>
  <c r="D11" i="1"/>
  <c r="D10" i="1"/>
  <c r="D13" i="1" s="1"/>
  <c r="C8" i="1"/>
  <c r="B8" i="1"/>
  <c r="C9" i="1"/>
  <c r="B9" i="1"/>
  <c r="C11" i="1"/>
  <c r="B11" i="1"/>
  <c r="G16" i="2"/>
  <c r="B10" i="1" s="1"/>
  <c r="O13" i="1" l="1"/>
  <c r="P13" i="1"/>
  <c r="Q7" i="1"/>
  <c r="S7" i="1" s="1"/>
  <c r="K13" i="1"/>
  <c r="Q6" i="1"/>
  <c r="S6" i="1" s="1"/>
  <c r="S11" i="1"/>
  <c r="G13" i="1"/>
  <c r="Q10" i="1"/>
  <c r="S10" i="1" s="1"/>
  <c r="Q9" i="1"/>
  <c r="S9" i="1" s="1"/>
  <c r="B13" i="1"/>
  <c r="E13" i="1"/>
  <c r="Q12" i="1"/>
  <c r="S12" i="1" s="1"/>
  <c r="F13" i="1"/>
  <c r="Q5" i="1"/>
  <c r="S5" i="1" s="1"/>
  <c r="C13" i="1"/>
  <c r="Q8" i="1"/>
  <c r="S8" i="1" s="1"/>
  <c r="R13" i="1"/>
  <c r="Q13" i="1" l="1"/>
  <c r="S13" i="1" s="1"/>
</calcChain>
</file>

<file path=xl/sharedStrings.xml><?xml version="1.0" encoding="utf-8"?>
<sst xmlns="http://schemas.openxmlformats.org/spreadsheetml/2006/main" count="40" uniqueCount="40">
  <si>
    <t>Projektkosten| VIE 013-Fassade-01 | Strabag AG</t>
  </si>
  <si>
    <t>Monat</t>
  </si>
  <si>
    <t>Innendienst</t>
  </si>
  <si>
    <t>Fremdpersonal</t>
  </si>
  <si>
    <t>Zimmer</t>
  </si>
  <si>
    <t>Schaden</t>
  </si>
  <si>
    <t>Abzug</t>
  </si>
  <si>
    <t>Löhne inkl. Nebenkosten</t>
  </si>
  <si>
    <t>Fudulu Flavius-Bogdan</t>
  </si>
  <si>
    <t>Vasalag Nicolae</t>
  </si>
  <si>
    <t>Margan Mario</t>
  </si>
  <si>
    <t>Margan Dragi</t>
  </si>
  <si>
    <t>Jelicic Matija</t>
  </si>
  <si>
    <t>Chelariu Leonard</t>
  </si>
  <si>
    <t xml:space="preserve">Axinte Mihaita </t>
  </si>
  <si>
    <t>Pal Alexandru</t>
  </si>
  <si>
    <t xml:space="preserve">Beljo Marinko </t>
  </si>
  <si>
    <t>Paulievici Miroslav</t>
  </si>
  <si>
    <t>Murzek Ivan</t>
  </si>
  <si>
    <t>Butucaru Ciprian Alex</t>
  </si>
  <si>
    <t>Petrea Paul</t>
  </si>
  <si>
    <t>Schönwetter August</t>
  </si>
  <si>
    <t>Orlando Katrin</t>
  </si>
  <si>
    <t>Personal</t>
  </si>
  <si>
    <t>Steuerberatung</t>
  </si>
  <si>
    <t>Treibstoff KFZ</t>
  </si>
  <si>
    <t>Bolohan Marinica-Nicusor</t>
  </si>
  <si>
    <t>Mitarbeiter</t>
  </si>
  <si>
    <t>Teodoru Denis</t>
  </si>
  <si>
    <t>Miete Büro</t>
  </si>
  <si>
    <t>Leasing Werkzeug</t>
  </si>
  <si>
    <t>Werkzeugkauf</t>
  </si>
  <si>
    <t>Versicherung KFZ</t>
  </si>
  <si>
    <t>Leasing KFZ</t>
  </si>
  <si>
    <t>Lohnverrechnung</t>
  </si>
  <si>
    <t>Einnahmen Strabag AG</t>
  </si>
  <si>
    <t>Zwischensumme (Apr-Mai)</t>
  </si>
  <si>
    <t>Summe Kosten</t>
  </si>
  <si>
    <t>Ergebnis</t>
  </si>
  <si>
    <t>KFZ Instandhaltung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</si>
</sst>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17" fontId="0" fillId="0" borderId="0" xfId="0" applyNumberFormat="1"/>
    <xf numFmtId="0" fontId="3" fillId="0" borderId="0" xfId="0" applyFont="1" applyAlignment="1">
      <alignment horizontal="center"/>
    </xf>
    <xf numFmtId="17" fontId="2" fillId="0" borderId="0" xfId="0" applyNumberFormat="1" applyFont="1"/>
    <xf numFmtId="44" fontId="0" fillId="0" borderId="0" xfId="1" applyFont="1"/>
    <xf numFmtId="44" fontId="0" fillId="0" borderId="0" xfId="1" applyFont="1" applyFill="1"/>
    <xf numFmtId="0" fontId="2" fillId="2" borderId="0" xfId="0" applyFont="1" applyFill="1"/>
    <xf numFmtId="44" fontId="0" fillId="2" borderId="0" xfId="1" applyFont="1" applyFill="1"/>
    <xf numFmtId="44" fontId="2" fillId="0" borderId="0" xfId="1" applyFont="1"/>
    <xf numFmtId="44" fontId="2" fillId="2" borderId="0" xfId="1" applyFont="1" applyFill="1"/>
    <xf numFmtId="44" fontId="2" fillId="0" borderId="0" xfId="0" applyNumberFormat="1" applyFont="1"/>
    <xf numFmtId="0" fontId="2" fillId="3" borderId="0" xfId="0" applyFont="1" applyFill="1"/>
    <xf numFmtId="44" fontId="0" fillId="3" borderId="0" xfId="1" applyFont="1" applyFill="1"/>
    <xf numFmtId="44" fontId="2" fillId="3" borderId="0" xfId="1" applyFont="1" applyFill="1"/>
    <xf numFmtId="9" fontId="2" fillId="0" borderId="0" xfId="0" applyNumberFormat="1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" fontId="0" fillId="0" borderId="0" xfId="0" applyNumberFormat="1" applyFill="1"/>
    <xf numFmtId="44" fontId="2" fillId="0" borderId="0" xfId="0" applyNumberFormat="1" applyFont="1" applyFill="1"/>
    <xf numFmtId="0" fontId="0" fillId="0" borderId="0" xfId="0" applyFill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90D6-DFE4-4D56-8E35-C5B64827C92D}">
  <dimension ref="A1:S14"/>
  <sheetViews>
    <sheetView tabSelected="1" zoomScale="115" zoomScaleNormal="115" workbookViewId="0">
      <pane xSplit="1" topLeftCell="F1" activePane="topRight" state="frozen"/>
      <selection pane="topRight" activeCell="P16" sqref="P16"/>
    </sheetView>
  </sheetViews>
  <sheetFormatPr baseColWidth="10" defaultRowHeight="15" x14ac:dyDescent="0.25"/>
  <cols>
    <col min="1" max="1" width="26.7109375" bestFit="1" customWidth="1"/>
    <col min="2" max="2" width="23.7109375" bestFit="1" customWidth="1"/>
    <col min="3" max="3" width="12.28515625" bestFit="1" customWidth="1"/>
    <col min="4" max="4" width="14.42578125" bestFit="1" customWidth="1"/>
    <col min="5" max="5" width="12.28515625" bestFit="1" customWidth="1"/>
    <col min="6" max="6" width="11.28515625" bestFit="1" customWidth="1"/>
    <col min="7" max="7" width="17.28515625" bestFit="1" customWidth="1"/>
    <col min="8" max="8" width="13.7109375" bestFit="1" customWidth="1"/>
    <col min="9" max="9" width="18.140625" bestFit="1" customWidth="1"/>
    <col min="10" max="10" width="13.42578125" bestFit="1" customWidth="1"/>
    <col min="11" max="11" width="16.42578125" bestFit="1" customWidth="1"/>
    <col min="12" max="12" width="12.28515625" bestFit="1" customWidth="1"/>
    <col min="13" max="13" width="8.7109375" bestFit="1" customWidth="1"/>
    <col min="14" max="14" width="12.7109375" bestFit="1" customWidth="1"/>
    <col min="15" max="15" width="15" bestFit="1" customWidth="1"/>
    <col min="16" max="16" width="16.85546875" bestFit="1" customWidth="1"/>
    <col min="17" max="17" width="14.42578125" bestFit="1" customWidth="1"/>
    <col min="18" max="18" width="21.5703125" bestFit="1" customWidth="1"/>
    <col min="19" max="19" width="12.7109375" style="1" bestFit="1" customWidth="1"/>
  </cols>
  <sheetData>
    <row r="1" spans="1:19" ht="15.75" x14ac:dyDescent="0.25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3"/>
      <c r="Q1" s="3"/>
    </row>
    <row r="3" spans="1:19" s="1" customFormat="1" x14ac:dyDescent="0.25">
      <c r="B3" s="17" t="s">
        <v>23</v>
      </c>
      <c r="C3" s="17"/>
      <c r="D3" s="17"/>
      <c r="F3" s="15">
        <v>0.65</v>
      </c>
    </row>
    <row r="4" spans="1:19" s="1" customFormat="1" x14ac:dyDescent="0.25">
      <c r="A4" s="1" t="s">
        <v>1</v>
      </c>
      <c r="B4" s="1" t="s">
        <v>7</v>
      </c>
      <c r="C4" s="1" t="s">
        <v>2</v>
      </c>
      <c r="D4" s="1" t="s">
        <v>3</v>
      </c>
      <c r="E4" s="1" t="s">
        <v>4</v>
      </c>
      <c r="F4" s="1" t="s">
        <v>29</v>
      </c>
      <c r="G4" s="1" t="s">
        <v>30</v>
      </c>
      <c r="H4" s="1" t="s">
        <v>31</v>
      </c>
      <c r="I4" s="1" t="s">
        <v>39</v>
      </c>
      <c r="J4" s="1" t="s">
        <v>25</v>
      </c>
      <c r="K4" s="1" t="s">
        <v>32</v>
      </c>
      <c r="L4" s="1" t="s">
        <v>33</v>
      </c>
      <c r="M4" s="1" t="s">
        <v>5</v>
      </c>
      <c r="N4" s="1" t="s">
        <v>6</v>
      </c>
      <c r="O4" s="1" t="s">
        <v>24</v>
      </c>
      <c r="P4" s="1" t="s">
        <v>34</v>
      </c>
      <c r="Q4" s="12" t="s">
        <v>37</v>
      </c>
      <c r="R4" s="7" t="s">
        <v>35</v>
      </c>
      <c r="S4" s="1" t="s">
        <v>38</v>
      </c>
    </row>
    <row r="5" spans="1:19" x14ac:dyDescent="0.25">
      <c r="A5" s="2">
        <v>45931</v>
      </c>
      <c r="B5" s="5">
        <v>29037.94</v>
      </c>
      <c r="C5" s="5">
        <f>SUM(Nebenrechnungen!B17:B18)</f>
        <v>9144.4700000000012</v>
      </c>
      <c r="D5" s="5">
        <v>0</v>
      </c>
      <c r="E5" s="5">
        <v>1341.56</v>
      </c>
      <c r="F5" s="5">
        <f>1140*0.8</f>
        <v>912</v>
      </c>
      <c r="G5" s="5">
        <v>1056</v>
      </c>
      <c r="H5" s="5">
        <f>134.03</f>
        <v>134.03</v>
      </c>
      <c r="I5" s="5">
        <v>679.91</v>
      </c>
      <c r="J5" s="5">
        <v>150</v>
      </c>
      <c r="K5" s="5">
        <f>1185.46*0.8</f>
        <v>948.36800000000005</v>
      </c>
      <c r="L5" s="5">
        <v>1470.22</v>
      </c>
      <c r="M5" s="5"/>
      <c r="N5" s="5"/>
      <c r="O5" s="5">
        <f>602.06*0.8</f>
        <v>481.64799999999997</v>
      </c>
      <c r="P5" s="5">
        <f>1062.6*0.8</f>
        <v>850.07999999999993</v>
      </c>
      <c r="Q5" s="13">
        <f>SUM(B5:P5)</f>
        <v>46206.22600000001</v>
      </c>
      <c r="R5" s="8"/>
      <c r="S5" s="11">
        <f>-Q5+R5</f>
        <v>-46206.22600000001</v>
      </c>
    </row>
    <row r="6" spans="1:19" x14ac:dyDescent="0.25">
      <c r="A6" s="2">
        <v>45962</v>
      </c>
      <c r="B6" s="5">
        <v>58816.65</v>
      </c>
      <c r="C6" s="5">
        <f>SUM(Nebenrechnungen!C17:C18)</f>
        <v>14070.94</v>
      </c>
      <c r="D6" s="5">
        <v>0</v>
      </c>
      <c r="E6" s="5">
        <f>1163.21+944.14</f>
        <v>2107.35</v>
      </c>
      <c r="F6" s="5">
        <f t="shared" ref="F6:F7" si="0">1140*0.8</f>
        <v>912</v>
      </c>
      <c r="G6" s="5">
        <v>1056</v>
      </c>
      <c r="H6" s="5">
        <f>319.69+9.92</f>
        <v>329.61</v>
      </c>
      <c r="I6" s="5">
        <v>679.91</v>
      </c>
      <c r="J6" s="5">
        <v>150</v>
      </c>
      <c r="K6" s="5">
        <v>1185.46</v>
      </c>
      <c r="L6" s="5">
        <v>1470.22</v>
      </c>
      <c r="M6" s="5"/>
      <c r="N6" s="5"/>
      <c r="O6" s="5">
        <f t="shared" ref="O6:O11" si="1">602.06*0.8</f>
        <v>481.64799999999997</v>
      </c>
      <c r="P6" s="5">
        <f t="shared" ref="P6:P11" si="2">1062.6*0.8</f>
        <v>850.07999999999993</v>
      </c>
      <c r="Q6" s="13">
        <f t="shared" ref="Q6:Q13" si="3">SUM(B6:P6)</f>
        <v>82109.868000000017</v>
      </c>
      <c r="R6" s="8"/>
      <c r="S6" s="11">
        <f t="shared" ref="S6:S12" si="4">-Q6+R6</f>
        <v>-82109.868000000017</v>
      </c>
    </row>
    <row r="7" spans="1:19" x14ac:dyDescent="0.25">
      <c r="A7" s="2">
        <v>45992</v>
      </c>
      <c r="B7" s="5">
        <v>26184.21</v>
      </c>
      <c r="C7" s="5">
        <f>SUM(Nebenrechnungen!D17:D18)</f>
        <v>8454.77</v>
      </c>
      <c r="D7" s="5">
        <v>0</v>
      </c>
      <c r="E7" s="5">
        <v>1746.36</v>
      </c>
      <c r="F7" s="5">
        <f t="shared" si="0"/>
        <v>912</v>
      </c>
      <c r="G7" s="5">
        <v>1056</v>
      </c>
      <c r="H7" s="5">
        <v>115.56</v>
      </c>
      <c r="I7" s="5">
        <v>679.91</v>
      </c>
      <c r="J7" s="5">
        <v>150</v>
      </c>
      <c r="K7" s="5">
        <v>1185.46</v>
      </c>
      <c r="L7" s="5">
        <v>1470.22</v>
      </c>
      <c r="M7" s="5"/>
      <c r="N7" s="5"/>
      <c r="O7" s="5">
        <f t="shared" si="1"/>
        <v>481.64799999999997</v>
      </c>
      <c r="P7" s="5">
        <f t="shared" si="2"/>
        <v>850.07999999999993</v>
      </c>
      <c r="Q7" s="13">
        <f t="shared" si="3"/>
        <v>43286.218000000001</v>
      </c>
      <c r="R7" s="8">
        <f>29498.78+27573.29</f>
        <v>57072.07</v>
      </c>
      <c r="S7" s="11">
        <f t="shared" si="4"/>
        <v>13785.851999999999</v>
      </c>
    </row>
    <row r="8" spans="1:19" x14ac:dyDescent="0.25">
      <c r="A8" s="2">
        <v>46023</v>
      </c>
      <c r="B8" s="5">
        <f>SUM(Nebenrechnungen!E2:E16)</f>
        <v>28866.450000000004</v>
      </c>
      <c r="C8" s="5">
        <f>SUM(Nebenrechnungen!E17:E18)</f>
        <v>8503.880000000001</v>
      </c>
      <c r="D8" s="5">
        <v>0</v>
      </c>
      <c r="E8" s="5">
        <f>2404.59+472.07</f>
        <v>2876.6600000000003</v>
      </c>
      <c r="F8" s="5">
        <f>(1202.79+375)*0.8</f>
        <v>1262.232</v>
      </c>
      <c r="G8" s="5">
        <v>1056</v>
      </c>
      <c r="H8" s="5">
        <f>71+64.33+34.12+65.25+29.14+139.83</f>
        <v>403.66999999999996</v>
      </c>
      <c r="I8" s="5">
        <v>679.91</v>
      </c>
      <c r="J8" s="5">
        <v>150</v>
      </c>
      <c r="K8" s="5">
        <v>1282.3</v>
      </c>
      <c r="L8" s="5">
        <v>1988.25</v>
      </c>
      <c r="M8" s="5"/>
      <c r="N8" s="5"/>
      <c r="O8" s="5">
        <f t="shared" si="1"/>
        <v>481.64799999999997</v>
      </c>
      <c r="P8" s="5">
        <f t="shared" si="2"/>
        <v>850.07999999999993</v>
      </c>
      <c r="Q8" s="13">
        <f t="shared" si="3"/>
        <v>48401.080000000016</v>
      </c>
      <c r="R8" s="8">
        <v>67963.45</v>
      </c>
      <c r="S8" s="11">
        <f t="shared" si="4"/>
        <v>19562.369999999981</v>
      </c>
    </row>
    <row r="9" spans="1:19" x14ac:dyDescent="0.25">
      <c r="A9" s="2">
        <v>46054</v>
      </c>
      <c r="B9" s="5">
        <f>SUM(Nebenrechnungen!F2:F16)</f>
        <v>34536.769999999997</v>
      </c>
      <c r="C9" s="5">
        <f>SUM(Nebenrechnungen!F17:F18)</f>
        <v>8848.83</v>
      </c>
      <c r="D9" s="5">
        <v>0</v>
      </c>
      <c r="E9" s="5">
        <f>4707.35+629.43</f>
        <v>5336.7800000000007</v>
      </c>
      <c r="F9" s="5">
        <f>(1202.79+375)*0.8</f>
        <v>1262.232</v>
      </c>
      <c r="G9" s="5">
        <v>1056</v>
      </c>
      <c r="H9" s="5">
        <f>121.37+195.59+721.08</f>
        <v>1038.04</v>
      </c>
      <c r="I9" s="5">
        <v>679.91</v>
      </c>
      <c r="J9" s="5">
        <v>150</v>
      </c>
      <c r="K9" s="5">
        <v>1282.3</v>
      </c>
      <c r="L9" s="5">
        <v>1988.25</v>
      </c>
      <c r="M9" s="5"/>
      <c r="N9" s="5"/>
      <c r="O9" s="5">
        <f t="shared" si="1"/>
        <v>481.64799999999997</v>
      </c>
      <c r="P9" s="5">
        <f t="shared" si="2"/>
        <v>850.07999999999993</v>
      </c>
      <c r="Q9" s="13">
        <f t="shared" si="3"/>
        <v>57510.840000000004</v>
      </c>
      <c r="R9" s="8">
        <v>46138.5</v>
      </c>
      <c r="S9" s="11">
        <f t="shared" si="4"/>
        <v>-11372.340000000004</v>
      </c>
    </row>
    <row r="10" spans="1:19" x14ac:dyDescent="0.25">
      <c r="A10" s="2">
        <v>46082</v>
      </c>
      <c r="B10" s="5">
        <f>SUM(Nebenrechnungen!G2:G16)</f>
        <v>41062.239999999998</v>
      </c>
      <c r="C10" s="5">
        <f>SUM(Nebenrechnungen!G17:G18)</f>
        <v>5959.2</v>
      </c>
      <c r="D10" s="5">
        <f>27*626</f>
        <v>16902</v>
      </c>
      <c r="E10" s="5">
        <f>2353.68+2353.69+786.79+472.07+987.34</f>
        <v>6953.57</v>
      </c>
      <c r="F10" s="5">
        <f>(1202.79+375)*0.8</f>
        <v>1262.232</v>
      </c>
      <c r="G10" s="5">
        <v>1056</v>
      </c>
      <c r="H10" s="5">
        <f>364.11+321.05+173.14+60.92-290+106.83+89.95+58.48+157.19</f>
        <v>1041.67</v>
      </c>
      <c r="I10" s="5">
        <v>679.91</v>
      </c>
      <c r="J10" s="5">
        <v>150</v>
      </c>
      <c r="K10" s="5">
        <v>1282.3</v>
      </c>
      <c r="L10" s="5">
        <v>1988.25</v>
      </c>
      <c r="M10" s="5"/>
      <c r="N10" s="5"/>
      <c r="O10" s="5">
        <f t="shared" si="1"/>
        <v>481.64799999999997</v>
      </c>
      <c r="P10" s="5">
        <f t="shared" si="2"/>
        <v>850.07999999999993</v>
      </c>
      <c r="Q10" s="13">
        <f t="shared" si="3"/>
        <v>79669.100000000006</v>
      </c>
      <c r="R10" s="8">
        <f>102773.77+4234</f>
        <v>107007.77</v>
      </c>
      <c r="S10" s="11">
        <f t="shared" si="4"/>
        <v>27338.67</v>
      </c>
    </row>
    <row r="11" spans="1:19" x14ac:dyDescent="0.25">
      <c r="A11" s="2">
        <v>46113</v>
      </c>
      <c r="B11" s="5">
        <f>SUM(Nebenrechnungen!H2:H16)</f>
        <v>26209.02</v>
      </c>
      <c r="C11" s="5">
        <f>SUM(Nebenrechnungen!H17:H18)</f>
        <v>9541.58</v>
      </c>
      <c r="D11" s="5">
        <f>27*765</f>
        <v>20655</v>
      </c>
      <c r="E11" s="5">
        <f>314.71+629.43+925.63+2205.58+1576.15+1481.01+2205.58</f>
        <v>9338.09</v>
      </c>
      <c r="F11" s="5">
        <f t="shared" ref="F11" si="5">1140*0.8</f>
        <v>912</v>
      </c>
      <c r="G11" s="5">
        <v>1056</v>
      </c>
      <c r="H11" s="5">
        <v>99.05</v>
      </c>
      <c r="I11" s="5">
        <v>679.91</v>
      </c>
      <c r="J11" s="5">
        <v>150</v>
      </c>
      <c r="K11" s="5">
        <v>1282.3</v>
      </c>
      <c r="L11" s="5">
        <v>1988.25</v>
      </c>
      <c r="M11" s="5"/>
      <c r="N11" s="5">
        <v>22053.919999999998</v>
      </c>
      <c r="O11" s="5">
        <f t="shared" si="1"/>
        <v>481.64799999999997</v>
      </c>
      <c r="P11" s="5">
        <f t="shared" si="2"/>
        <v>850.07999999999993</v>
      </c>
      <c r="Q11" s="13">
        <f>SUM(B11:P11)</f>
        <v>95296.848000000013</v>
      </c>
      <c r="R11" s="8">
        <f>23130.16+17640+35872.7+16085.72+17279.36</f>
        <v>110007.94</v>
      </c>
      <c r="S11" s="11">
        <f t="shared" si="4"/>
        <v>14711.09199999999</v>
      </c>
    </row>
    <row r="12" spans="1:19" s="20" customFormat="1" x14ac:dyDescent="0.25">
      <c r="A12" s="18">
        <v>46143</v>
      </c>
      <c r="B12" s="6">
        <f>SUM(Nebenrechnungen!I2:I16)</f>
        <v>17440.580000000002</v>
      </c>
      <c r="C12" s="6">
        <f>SUM(Nebenrechnungen!I17:I18)</f>
        <v>9481.630000000001</v>
      </c>
      <c r="D12" s="6">
        <f>27*276</f>
        <v>7452</v>
      </c>
      <c r="E12" s="6">
        <v>1481.01</v>
      </c>
      <c r="F12" s="6">
        <f t="shared" ref="F12" si="6">1202.79+375</f>
        <v>1577.79</v>
      </c>
      <c r="G12" s="5">
        <v>1056</v>
      </c>
      <c r="H12" s="6"/>
      <c r="I12" s="5">
        <v>679.91</v>
      </c>
      <c r="J12" s="5">
        <v>150</v>
      </c>
      <c r="K12" s="5">
        <v>1282.3</v>
      </c>
      <c r="L12" s="5">
        <v>1988.25</v>
      </c>
      <c r="M12" s="6"/>
      <c r="N12" s="6"/>
      <c r="O12" s="6"/>
      <c r="P12" s="6"/>
      <c r="Q12" s="13">
        <f t="shared" si="3"/>
        <v>42589.470000000016</v>
      </c>
      <c r="R12" s="8"/>
      <c r="S12" s="19">
        <f t="shared" si="4"/>
        <v>-42589.470000000016</v>
      </c>
    </row>
    <row r="13" spans="1:19" s="1" customFormat="1" x14ac:dyDescent="0.25">
      <c r="A13" s="9" t="s">
        <v>36</v>
      </c>
      <c r="B13" s="9">
        <f t="shared" ref="B13:P13" si="7">SUM(B5:B11)</f>
        <v>244713.27999999997</v>
      </c>
      <c r="C13" s="9">
        <f t="shared" si="7"/>
        <v>64523.670000000006</v>
      </c>
      <c r="D13" s="9">
        <f t="shared" si="7"/>
        <v>37557</v>
      </c>
      <c r="E13" s="9">
        <f t="shared" si="7"/>
        <v>29700.37</v>
      </c>
      <c r="F13" s="9">
        <f t="shared" si="7"/>
        <v>7434.6959999999999</v>
      </c>
      <c r="G13" s="9">
        <f t="shared" si="7"/>
        <v>7392</v>
      </c>
      <c r="H13" s="9">
        <f t="shared" si="7"/>
        <v>3161.63</v>
      </c>
      <c r="I13" s="9">
        <f t="shared" si="7"/>
        <v>4759.37</v>
      </c>
      <c r="J13" s="9">
        <f t="shared" si="7"/>
        <v>1050</v>
      </c>
      <c r="K13" s="9">
        <f t="shared" si="7"/>
        <v>8448.4879999999994</v>
      </c>
      <c r="L13" s="9">
        <f t="shared" si="7"/>
        <v>12363.66</v>
      </c>
      <c r="M13" s="9">
        <f t="shared" si="7"/>
        <v>0</v>
      </c>
      <c r="N13" s="9">
        <f t="shared" si="7"/>
        <v>22053.919999999998</v>
      </c>
      <c r="O13" s="9">
        <f t="shared" si="7"/>
        <v>3371.5360000000001</v>
      </c>
      <c r="P13" s="9">
        <f t="shared" si="7"/>
        <v>5950.5599999999995</v>
      </c>
      <c r="Q13" s="14">
        <f t="shared" si="3"/>
        <v>452480.17999999993</v>
      </c>
      <c r="R13" s="10">
        <f>SUM(R5:R11)</f>
        <v>388189.73</v>
      </c>
      <c r="S13" s="11">
        <f>-Q13+R13</f>
        <v>-64290.449999999953</v>
      </c>
    </row>
    <row r="14" spans="1:19" x14ac:dyDescent="0.25">
      <c r="S14" s="11"/>
    </row>
  </sheetData>
  <mergeCells count="2">
    <mergeCell ref="A1:O1"/>
    <mergeCell ref="B3:D3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42FDE-BFFD-4B7A-A772-F817DF24FACF}">
  <dimension ref="A1:J18"/>
  <sheetViews>
    <sheetView workbookViewId="0">
      <selection activeCell="I19" sqref="I19"/>
    </sheetView>
  </sheetViews>
  <sheetFormatPr baseColWidth="10" defaultRowHeight="15" x14ac:dyDescent="0.25"/>
  <cols>
    <col min="1" max="1" width="24.28515625" style="1" bestFit="1" customWidth="1"/>
    <col min="3" max="3" width="11.85546875" bestFit="1" customWidth="1"/>
  </cols>
  <sheetData>
    <row r="1" spans="1:10" s="1" customFormat="1" x14ac:dyDescent="0.25">
      <c r="A1" s="1" t="s">
        <v>27</v>
      </c>
      <c r="B1" s="4">
        <v>45931</v>
      </c>
      <c r="C1" s="4">
        <v>45962</v>
      </c>
      <c r="D1" s="4">
        <v>45992</v>
      </c>
      <c r="E1" s="4">
        <v>46023</v>
      </c>
      <c r="F1" s="4">
        <v>46054</v>
      </c>
      <c r="G1" s="4">
        <v>46082</v>
      </c>
      <c r="H1" s="4">
        <v>46113</v>
      </c>
      <c r="I1" s="4">
        <v>46143</v>
      </c>
      <c r="J1" s="4">
        <v>46174</v>
      </c>
    </row>
    <row r="2" spans="1:10" x14ac:dyDescent="0.25">
      <c r="A2" s="1" t="s">
        <v>14</v>
      </c>
      <c r="B2" s="5"/>
      <c r="C2" s="5"/>
      <c r="D2" s="5"/>
      <c r="E2" s="5">
        <v>3130.7</v>
      </c>
      <c r="F2" s="5">
        <v>4199.8100000000004</v>
      </c>
      <c r="G2" s="5">
        <v>800.86</v>
      </c>
      <c r="H2" s="5"/>
      <c r="I2" s="5"/>
      <c r="J2" s="5"/>
    </row>
    <row r="3" spans="1:10" x14ac:dyDescent="0.25">
      <c r="A3" s="1" t="s">
        <v>16</v>
      </c>
      <c r="B3" s="5"/>
      <c r="C3" s="5"/>
      <c r="D3" s="5"/>
      <c r="E3" s="5"/>
      <c r="F3" s="5"/>
      <c r="G3" s="5">
        <v>3595.2</v>
      </c>
      <c r="H3" s="6">
        <v>4048.56</v>
      </c>
      <c r="I3" s="6"/>
      <c r="J3" s="5"/>
    </row>
    <row r="4" spans="1:10" x14ac:dyDescent="0.25">
      <c r="A4" s="1" t="s">
        <v>26</v>
      </c>
      <c r="B4" s="5"/>
      <c r="C4" s="5"/>
      <c r="D4" s="5"/>
      <c r="E4" s="5"/>
      <c r="F4" s="5"/>
      <c r="G4" s="5"/>
      <c r="I4" s="5">
        <v>3821.33</v>
      </c>
      <c r="J4" s="5"/>
    </row>
    <row r="5" spans="1:10" x14ac:dyDescent="0.25">
      <c r="A5" s="1" t="s">
        <v>19</v>
      </c>
      <c r="B5" s="5"/>
      <c r="C5" s="5"/>
      <c r="D5" s="5"/>
      <c r="E5" s="5">
        <v>2898.47</v>
      </c>
      <c r="F5" s="5">
        <v>2551.39</v>
      </c>
      <c r="G5" s="5"/>
      <c r="H5" s="5"/>
      <c r="I5" s="5"/>
      <c r="J5" s="5"/>
    </row>
    <row r="6" spans="1:10" x14ac:dyDescent="0.25">
      <c r="A6" s="1" t="s">
        <v>13</v>
      </c>
      <c r="B6" s="5"/>
      <c r="C6" s="5"/>
      <c r="D6" s="5"/>
      <c r="E6" s="5">
        <v>3090.7</v>
      </c>
      <c r="F6" s="5">
        <v>3779.81</v>
      </c>
      <c r="G6" s="5">
        <v>4656.29</v>
      </c>
      <c r="H6" s="5">
        <v>1441.96</v>
      </c>
      <c r="I6" s="5"/>
      <c r="J6" s="5"/>
    </row>
    <row r="7" spans="1:10" x14ac:dyDescent="0.25">
      <c r="A7" s="1" t="s">
        <v>8</v>
      </c>
      <c r="B7" s="5"/>
      <c r="C7" s="5"/>
      <c r="D7" s="5"/>
      <c r="E7" s="5"/>
      <c r="F7" s="5">
        <v>704</v>
      </c>
      <c r="G7" s="5">
        <v>5186.68</v>
      </c>
      <c r="H7" s="5"/>
      <c r="I7" s="5"/>
      <c r="J7" s="5"/>
    </row>
    <row r="8" spans="1:10" x14ac:dyDescent="0.25">
      <c r="A8" s="1" t="s">
        <v>12</v>
      </c>
      <c r="B8" s="5"/>
      <c r="C8" s="5"/>
      <c r="D8" s="5"/>
      <c r="E8" s="5">
        <v>1244.53</v>
      </c>
      <c r="F8" s="5">
        <v>3659.81</v>
      </c>
      <c r="G8" s="5">
        <v>4374.29</v>
      </c>
      <c r="H8" s="5">
        <v>4269.05</v>
      </c>
      <c r="I8" s="5"/>
      <c r="J8" s="5"/>
    </row>
    <row r="9" spans="1:10" x14ac:dyDescent="0.25">
      <c r="A9" s="1" t="s">
        <v>11</v>
      </c>
      <c r="B9" s="5"/>
      <c r="C9" s="5"/>
      <c r="D9" s="5"/>
      <c r="E9" s="5">
        <v>4065</v>
      </c>
      <c r="F9" s="5">
        <v>5300</v>
      </c>
      <c r="G9" s="5">
        <v>6770.98</v>
      </c>
      <c r="H9" s="5">
        <v>5949.95</v>
      </c>
      <c r="I9" s="5">
        <v>5829.02</v>
      </c>
      <c r="J9" s="5"/>
    </row>
    <row r="10" spans="1:10" x14ac:dyDescent="0.25">
      <c r="A10" s="1" t="s">
        <v>10</v>
      </c>
      <c r="B10" s="5"/>
      <c r="C10" s="5"/>
      <c r="D10" s="5"/>
      <c r="E10" s="5">
        <v>3442.5</v>
      </c>
      <c r="F10" s="5">
        <v>4421.5</v>
      </c>
      <c r="G10" s="5">
        <v>5056.9799999999996</v>
      </c>
      <c r="H10" s="5">
        <v>4910.74</v>
      </c>
      <c r="I10" s="5"/>
      <c r="J10" s="5"/>
    </row>
    <row r="11" spans="1:10" x14ac:dyDescent="0.25">
      <c r="A11" s="1" t="s">
        <v>18</v>
      </c>
      <c r="B11" s="5"/>
      <c r="C11" s="5"/>
      <c r="D11" s="5"/>
      <c r="E11" s="5">
        <v>2954.7</v>
      </c>
      <c r="F11" s="5">
        <v>2054.04</v>
      </c>
      <c r="G11" s="5"/>
      <c r="H11" s="5"/>
      <c r="I11" s="5"/>
      <c r="J11" s="5"/>
    </row>
    <row r="12" spans="1:10" x14ac:dyDescent="0.25">
      <c r="A12" s="1" t="s">
        <v>15</v>
      </c>
      <c r="B12" s="5"/>
      <c r="C12" s="5"/>
      <c r="D12" s="5"/>
      <c r="E12" s="5">
        <v>2624.41</v>
      </c>
      <c r="F12" s="5">
        <v>4109.8100000000004</v>
      </c>
      <c r="G12" s="5">
        <v>4938.29</v>
      </c>
      <c r="H12" s="5">
        <v>4119.05</v>
      </c>
      <c r="I12" s="5">
        <v>3963.82</v>
      </c>
      <c r="J12" s="5"/>
    </row>
    <row r="13" spans="1:10" x14ac:dyDescent="0.25">
      <c r="A13" s="1" t="s">
        <v>17</v>
      </c>
      <c r="B13" s="5"/>
      <c r="C13" s="5"/>
      <c r="D13" s="5"/>
      <c r="E13" s="5">
        <v>3056.7</v>
      </c>
      <c r="F13" s="5">
        <v>1516.05</v>
      </c>
      <c r="G13" s="5"/>
      <c r="H13" s="5"/>
      <c r="I13" s="5"/>
      <c r="J13" s="5"/>
    </row>
    <row r="14" spans="1:10" x14ac:dyDescent="0.25">
      <c r="A14" s="1" t="s">
        <v>20</v>
      </c>
      <c r="B14" s="5"/>
      <c r="C14" s="5"/>
      <c r="D14" s="5"/>
      <c r="E14" s="5">
        <v>2358.7399999999998</v>
      </c>
      <c r="F14" s="5">
        <v>1357.56</v>
      </c>
      <c r="G14" s="5"/>
      <c r="H14" s="5"/>
      <c r="I14" s="5"/>
      <c r="J14" s="5"/>
    </row>
    <row r="15" spans="1:10" x14ac:dyDescent="0.25">
      <c r="A15" s="1" t="s">
        <v>28</v>
      </c>
      <c r="B15" s="5"/>
      <c r="C15" s="5"/>
      <c r="D15" s="5"/>
      <c r="E15" s="5"/>
      <c r="F15" s="5"/>
      <c r="G15" s="5"/>
      <c r="H15" s="6">
        <v>1469.71</v>
      </c>
      <c r="I15" s="5">
        <v>3826.41</v>
      </c>
      <c r="J15" s="5"/>
    </row>
    <row r="16" spans="1:10" x14ac:dyDescent="0.25">
      <c r="A16" s="1" t="s">
        <v>9</v>
      </c>
      <c r="B16" s="5"/>
      <c r="C16" s="5"/>
      <c r="D16" s="5"/>
      <c r="E16" s="5"/>
      <c r="F16" s="5">
        <v>882.99</v>
      </c>
      <c r="G16" s="5">
        <f>773.24+4909.43</f>
        <v>5682.67</v>
      </c>
      <c r="H16" s="5"/>
      <c r="I16" s="5"/>
      <c r="J16" s="5"/>
    </row>
    <row r="17" spans="1:10" x14ac:dyDescent="0.25">
      <c r="A17" s="1" t="s">
        <v>21</v>
      </c>
      <c r="B17" s="5">
        <v>7644.47</v>
      </c>
      <c r="C17" s="5">
        <v>12570.94</v>
      </c>
      <c r="D17" s="5">
        <v>6954.77</v>
      </c>
      <c r="E17" s="5">
        <v>7003.88</v>
      </c>
      <c r="F17" s="5">
        <v>7348.83</v>
      </c>
      <c r="G17" s="5">
        <v>4459.2</v>
      </c>
      <c r="H17" s="5">
        <v>7664.83</v>
      </c>
      <c r="I17" s="5">
        <v>7601.63</v>
      </c>
      <c r="J17" s="5"/>
    </row>
    <row r="18" spans="1:10" x14ac:dyDescent="0.25">
      <c r="A18" s="1" t="s">
        <v>22</v>
      </c>
      <c r="B18" s="5">
        <v>1500</v>
      </c>
      <c r="C18" s="5">
        <v>1500</v>
      </c>
      <c r="D18" s="5">
        <v>1500</v>
      </c>
      <c r="E18" s="5">
        <v>1500</v>
      </c>
      <c r="F18" s="5">
        <v>1500</v>
      </c>
      <c r="G18" s="5">
        <v>1500</v>
      </c>
      <c r="H18" s="5">
        <v>1876.75</v>
      </c>
      <c r="I18" s="5">
        <v>1880</v>
      </c>
      <c r="J18" s="5"/>
    </row>
  </sheetData>
  <sortState xmlns:xlrd2="http://schemas.microsoft.com/office/spreadsheetml/2017/richdata2" ref="A2:A16">
    <sortCondition ref="A2:A16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Projektkosten</vt:lpstr>
      <vt:lpstr>Nebenrechnungen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Buchhaltung Wikimont</dc:creator>
  <cp:lastModifiedBy>Buchhaltung Wikimont</cp:lastModifiedBy>
  <dcterms:created xsi:type="dcterms:W3CDTF">2026-06-17T10:38:43Z</dcterms:created>
  <dcterms:modified xsi:type="dcterms:W3CDTF">2026-06-19T10:45:34Z</dcterms:modified>
</cp:coreProperties>
</file>