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DieseArbeitsmappe" defaultThemeVersion="124226"/>
  <mc:AlternateContent xmlns:mc="http://schemas.openxmlformats.org/markup-compatibility/2006">
    <mc:Choice Requires="x15">
      <x15ac:absPath xmlns:x15ac="http://schemas.microsoft.com/office/spreadsheetml/2010/11/ac" url="C:\Users\buchh\Nextcloud\WM\Lohnverrechnung u. Stunden 2026\Lohnabrechnung 2026\2026-06_Juni\"/>
    </mc:Choice>
  </mc:AlternateContent>
  <xr:revisionPtr revIDLastSave="0" documentId="8_{A0194149-EF1B-0A4F-A5EE-C9DAE568D58E}" xr6:coauthVersionLast="47" xr6:coauthVersionMax="47" xr10:uidLastSave="{00000000-0000-0000-0000-000000000000}"/>
  <bookViews>
    <workbookView xWindow="10560" yWindow="25812" windowWidth="23256" windowHeight="12456" activeTab="5"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29" i="5" l="1"/>
  <c r="L34" i="12"/>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5" i="6"/>
  <c r="I7" i="6"/>
  <c r="I8" i="6"/>
  <c r="I14" i="6"/>
  <c r="I15" i="6"/>
  <c r="I21" i="6"/>
  <c r="I22" i="6"/>
  <c r="I28" i="6"/>
  <c r="I29" i="6"/>
  <c r="I3" i="5"/>
  <c r="I4" i="5"/>
  <c r="I10" i="5"/>
  <c r="I11" i="5"/>
  <c r="I15" i="5"/>
  <c r="I17" i="5"/>
  <c r="I18" i="5"/>
  <c r="I24" i="5"/>
  <c r="I25" i="5"/>
  <c r="I26" i="5"/>
  <c r="I31" i="5"/>
  <c r="I32" i="5"/>
  <c r="I2" i="5"/>
  <c r="I5" i="4"/>
  <c r="I6" i="4"/>
  <c r="I12" i="4"/>
  <c r="I13" i="4"/>
  <c r="I19" i="4"/>
  <c r="I20" i="4"/>
  <c r="I26" i="4"/>
  <c r="I27" i="4"/>
  <c r="I8" i="1"/>
  <c r="I9" i="1"/>
  <c r="I15" i="1"/>
  <c r="I16" i="1"/>
  <c r="I22" i="1"/>
  <c r="I23" i="1"/>
  <c r="I30" i="1"/>
  <c r="I2" i="1"/>
  <c r="I8" i="2"/>
  <c r="I9" i="2"/>
  <c r="I15" i="2"/>
  <c r="I16" i="2"/>
  <c r="I22" i="2"/>
  <c r="I23" i="2"/>
  <c r="I29" i="2"/>
  <c r="I2" i="2"/>
  <c r="I3" i="3"/>
  <c r="I4" i="3"/>
  <c r="I5" i="3"/>
  <c r="I6" i="3"/>
  <c r="I7" i="3"/>
  <c r="I8" i="3"/>
  <c r="I9" i="3"/>
  <c r="I10" i="3"/>
  <c r="I11" i="3"/>
  <c r="I12" i="3"/>
  <c r="I13"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3" i="3"/>
  <c r="H4" i="3"/>
  <c r="H11" i="3"/>
  <c r="H9" i="3"/>
  <c r="H8" i="3"/>
  <c r="H7" i="3"/>
  <c r="H2" i="3"/>
  <c r="H10" i="3"/>
  <c r="H6" i="3"/>
  <c r="H32" i="3"/>
  <c r="H24" i="3"/>
  <c r="H27" i="3"/>
  <c r="H20" i="3"/>
  <c r="H31" i="3"/>
  <c r="H15" i="3"/>
  <c r="H28" i="3"/>
  <c r="H17" i="3"/>
  <c r="H29" i="3"/>
  <c r="H25" i="3"/>
  <c r="H23" i="3"/>
  <c r="H16" i="3"/>
  <c r="H14" i="3"/>
  <c r="H22" i="3"/>
  <c r="H30" i="3"/>
  <c r="H18" i="3"/>
  <c r="H21" i="3"/>
  <c r="H13" i="3"/>
  <c r="I31" i="3" l="1"/>
  <c r="I30" i="3"/>
  <c r="I17" i="3"/>
  <c r="I16" i="3"/>
  <c r="I15" i="3"/>
  <c r="I14" i="3"/>
  <c r="I2" i="3"/>
  <c r="G19" i="3"/>
  <c r="I19" i="3" s="1"/>
  <c r="G22" i="3"/>
  <c r="I22" i="3" s="1"/>
  <c r="G21" i="3"/>
  <c r="I21" i="3" s="1"/>
  <c r="G20" i="3"/>
  <c r="I20" i="3" s="1"/>
  <c r="G27" i="3"/>
  <c r="I27" i="3" s="1"/>
  <c r="G26" i="3"/>
  <c r="I26" i="3" s="1"/>
  <c r="G28" i="3"/>
  <c r="I28" i="3" s="1"/>
  <c r="G29" i="3"/>
  <c r="I29" i="3" s="1"/>
  <c r="I23"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12" i="3"/>
  <c r="H5" i="3"/>
  <c r="H7" i="4"/>
  <c r="H15" i="5"/>
  <c r="H9" i="12"/>
  <c r="H27" i="10"/>
  <c r="H2" i="5"/>
  <c r="H26" i="12"/>
  <c r="H26" i="5"/>
  <c r="H5" i="6"/>
  <c r="I7" i="4" l="1"/>
  <c r="I29" i="1"/>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H4" i="6"/>
  <c r="H21" i="4"/>
  <c r="H16" i="12"/>
  <c r="H29" i="11"/>
  <c r="H6" i="10"/>
  <c r="H23" i="11"/>
  <c r="H32" i="7"/>
  <c r="H7" i="11"/>
  <c r="H9" i="6"/>
  <c r="H7" i="1"/>
  <c r="H9" i="5"/>
  <c r="H17" i="2"/>
  <c r="H28" i="4"/>
  <c r="H24" i="4"/>
  <c r="H4" i="9"/>
  <c r="H18" i="6"/>
  <c r="H30" i="11"/>
  <c r="H19" i="9"/>
  <c r="H15" i="2"/>
  <c r="H18" i="2"/>
  <c r="H29" i="2"/>
  <c r="H10" i="9"/>
  <c r="H14" i="12"/>
  <c r="H24" i="9"/>
  <c r="H21" i="11"/>
  <c r="H2" i="1"/>
  <c r="H21" i="7"/>
  <c r="H7" i="2"/>
  <c r="H3" i="11"/>
  <c r="H2" i="6"/>
  <c r="H10" i="10"/>
  <c r="H28" i="1"/>
  <c r="H19" i="2"/>
  <c r="H31" i="5"/>
  <c r="H6" i="2"/>
  <c r="H10" i="2"/>
  <c r="H28" i="2"/>
  <c r="H27" i="1"/>
  <c r="H11" i="6"/>
  <c r="H19" i="8"/>
  <c r="H29" i="8"/>
  <c r="H28" i="11"/>
  <c r="H8" i="9"/>
  <c r="H17" i="10"/>
  <c r="H16" i="2"/>
  <c r="H12" i="1"/>
  <c r="H11" i="4"/>
  <c r="H30" i="7"/>
  <c r="H14" i="9"/>
  <c r="H12" i="5"/>
  <c r="H17" i="1"/>
  <c r="H13" i="7"/>
  <c r="H7" i="6"/>
  <c r="H25" i="7"/>
  <c r="H14" i="11"/>
  <c r="H18" i="7"/>
  <c r="H15" i="4"/>
  <c r="H8" i="1"/>
  <c r="H19" i="3"/>
  <c r="H8" i="2"/>
  <c r="H6" i="8"/>
  <c r="H5" i="12"/>
  <c r="H15" i="8"/>
  <c r="H9" i="8"/>
  <c r="H32" i="8"/>
  <c r="H13" i="8"/>
  <c r="H15" i="6"/>
  <c r="H24" i="2"/>
  <c r="H29" i="5"/>
  <c r="H28" i="12"/>
  <c r="H26" i="4"/>
  <c r="H9" i="2"/>
  <c r="H18" i="1"/>
  <c r="H10" i="12"/>
  <c r="H10" i="1"/>
  <c r="H24" i="11"/>
  <c r="H26" i="2"/>
  <c r="H6" i="11"/>
  <c r="H4" i="7"/>
  <c r="H17" i="12"/>
  <c r="H8" i="12"/>
  <c r="H25" i="6"/>
  <c r="H17" i="11"/>
  <c r="H32" i="1"/>
  <c r="H22" i="11"/>
  <c r="H16" i="5"/>
  <c r="H20" i="6"/>
  <c r="H23" i="12"/>
  <c r="H5" i="8"/>
  <c r="H14" i="8"/>
  <c r="H14" i="10"/>
  <c r="H24" i="6"/>
  <c r="H13" i="1"/>
  <c r="H3" i="6"/>
  <c r="H20" i="11"/>
  <c r="H5" i="2"/>
  <c r="H22" i="8"/>
  <c r="H21" i="6"/>
  <c r="H25" i="11"/>
  <c r="H12" i="6"/>
  <c r="H2" i="8"/>
  <c r="H21" i="2"/>
  <c r="H29" i="1"/>
  <c r="H25" i="12"/>
  <c r="H17" i="9"/>
  <c r="H31" i="6"/>
  <c r="H18" i="4"/>
  <c r="H3" i="7"/>
  <c r="H8" i="4"/>
  <c r="H13" i="11"/>
  <c r="H10" i="6"/>
  <c r="H4" i="11"/>
  <c r="H3" i="10"/>
  <c r="H31" i="12"/>
  <c r="H31" i="4"/>
  <c r="H15" i="9"/>
  <c r="H16" i="11"/>
  <c r="H8" i="6"/>
  <c r="H9" i="7"/>
  <c r="H22" i="12"/>
  <c r="H4" i="10"/>
  <c r="H3" i="8"/>
  <c r="H6" i="5"/>
  <c r="H18" i="9"/>
  <c r="H22" i="7"/>
  <c r="H27" i="7"/>
  <c r="H26" i="1"/>
  <c r="H21" i="1"/>
  <c r="H32" i="10"/>
  <c r="H3" i="4"/>
  <c r="H6" i="4"/>
  <c r="H9" i="9"/>
  <c r="H20" i="4"/>
  <c r="H11" i="8"/>
  <c r="H13" i="4"/>
  <c r="H27" i="4"/>
  <c r="H14" i="7"/>
  <c r="H12" i="2"/>
  <c r="H24" i="10"/>
  <c r="H19" i="11"/>
  <c r="H27" i="11"/>
  <c r="H15" i="12"/>
  <c r="H14" i="1"/>
  <c r="H25" i="2"/>
  <c r="H11" i="5"/>
  <c r="H19" i="5"/>
  <c r="H23" i="4"/>
  <c r="H31" i="9"/>
  <c r="H29" i="10"/>
  <c r="H17" i="4"/>
  <c r="H3" i="12"/>
  <c r="H8" i="5"/>
  <c r="H3" i="2"/>
  <c r="H19" i="4"/>
  <c r="H23" i="5"/>
  <c r="H22" i="4"/>
  <c r="H12" i="10"/>
  <c r="H12" i="9"/>
  <c r="H7" i="7"/>
  <c r="H23" i="1"/>
  <c r="H12" i="4"/>
  <c r="H21" i="8"/>
  <c r="H31" i="10"/>
  <c r="H27" i="5"/>
  <c r="H26" i="11"/>
  <c r="H29" i="9"/>
  <c r="H3" i="9"/>
  <c r="H17" i="6"/>
  <c r="H10" i="4"/>
  <c r="H23" i="9"/>
  <c r="H20" i="5"/>
  <c r="H16" i="10"/>
  <c r="H27" i="9"/>
  <c r="H25" i="9"/>
  <c r="H10" i="5"/>
  <c r="H21" i="9"/>
  <c r="H24" i="12"/>
  <c r="H11" i="7"/>
  <c r="H19" i="10"/>
  <c r="H28" i="7"/>
  <c r="H31" i="11"/>
  <c r="H14" i="5"/>
  <c r="H5" i="9"/>
  <c r="H25" i="8"/>
  <c r="H28" i="8"/>
  <c r="H13" i="12"/>
  <c r="H30" i="8"/>
  <c r="H22" i="5"/>
  <c r="H23" i="10"/>
  <c r="H5" i="10"/>
  <c r="H20" i="7"/>
  <c r="H18" i="10"/>
  <c r="H14" i="6"/>
  <c r="H16" i="9"/>
  <c r="H20" i="8"/>
  <c r="H26" i="7"/>
  <c r="H4" i="5"/>
  <c r="H30" i="9"/>
  <c r="H19" i="1"/>
  <c r="H5" i="5"/>
  <c r="H5" i="11"/>
  <c r="H6" i="12"/>
  <c r="H3" i="1"/>
  <c r="H21" i="12"/>
  <c r="H24" i="5"/>
  <c r="H29" i="6"/>
  <c r="H22" i="2"/>
  <c r="H23" i="2"/>
  <c r="H18" i="11"/>
  <c r="H12" i="8"/>
  <c r="H2" i="4"/>
  <c r="H29" i="12"/>
  <c r="H27" i="12"/>
  <c r="H21" i="10"/>
  <c r="H13" i="10"/>
  <c r="H18" i="8"/>
  <c r="H10" i="11"/>
  <c r="H26" i="10"/>
  <c r="H29" i="7"/>
  <c r="H24" i="7"/>
  <c r="H25" i="1"/>
  <c r="H30" i="12"/>
  <c r="H9" i="10"/>
  <c r="H11" i="9"/>
  <c r="H31" i="8"/>
  <c r="H15" i="1"/>
  <c r="H26" i="9"/>
  <c r="H4" i="12"/>
  <c r="H15" i="10"/>
  <c r="H23" i="7"/>
  <c r="H10" i="8"/>
  <c r="H2" i="2"/>
  <c r="H12" i="7"/>
  <c r="H15" i="11"/>
  <c r="H13" i="5"/>
  <c r="H14" i="2"/>
  <c r="H17" i="7"/>
  <c r="H12" i="12"/>
  <c r="H30" i="1"/>
  <c r="H6" i="7"/>
  <c r="H19" i="12"/>
  <c r="H11" i="11"/>
  <c r="H7" i="9"/>
  <c r="H32" i="5"/>
  <c r="H15" i="7"/>
  <c r="H24" i="8"/>
  <c r="H9" i="4"/>
  <c r="H11" i="10"/>
  <c r="H9" i="1"/>
  <c r="H32" i="12"/>
  <c r="H22" i="9"/>
  <c r="H30" i="5"/>
  <c r="H28" i="6"/>
  <c r="H30" i="6"/>
  <c r="H16" i="4"/>
  <c r="H6" i="6"/>
  <c r="H7" i="5"/>
  <c r="H5" i="4"/>
  <c r="H18" i="5"/>
  <c r="H20" i="9"/>
  <c r="H21" i="5"/>
  <c r="H11" i="2"/>
  <c r="H2" i="7"/>
  <c r="H20" i="1"/>
  <c r="H20" i="12"/>
  <c r="H22" i="10"/>
  <c r="H11" i="12"/>
  <c r="H4" i="1"/>
  <c r="H23" i="6"/>
  <c r="H25" i="4"/>
  <c r="H30" i="4"/>
  <c r="H13" i="9"/>
  <c r="H16" i="7"/>
  <c r="H8" i="7"/>
  <c r="H16" i="6"/>
  <c r="H30" i="10"/>
  <c r="H7" i="8"/>
  <c r="H22" i="1"/>
  <c r="H6" i="1"/>
  <c r="H29" i="4"/>
  <c r="H27" i="6"/>
  <c r="H27" i="2"/>
  <c r="H14" i="4"/>
  <c r="H4" i="8"/>
  <c r="H13" i="2"/>
  <c r="H20" i="10"/>
  <c r="H5" i="1"/>
  <c r="H7" i="12"/>
  <c r="H28" i="10"/>
  <c r="H13" i="6"/>
  <c r="H2" i="9"/>
  <c r="H17" i="5"/>
  <c r="H7" i="10"/>
  <c r="H12" i="11"/>
  <c r="H9" i="11"/>
  <c r="H25" i="5"/>
  <c r="H2" i="12"/>
  <c r="H26" i="6"/>
  <c r="H27" i="8"/>
  <c r="H19" i="6"/>
  <c r="H24" i="1"/>
  <c r="H6" i="9"/>
  <c r="H17" i="8"/>
  <c r="H31" i="7"/>
  <c r="H10" i="7"/>
  <c r="H25" i="10"/>
  <c r="H2" i="11"/>
  <c r="H26" i="3"/>
  <c r="H19" i="7"/>
  <c r="H31" i="1"/>
  <c r="H16" i="8"/>
  <c r="H26" i="8"/>
  <c r="H16" i="1"/>
  <c r="H3" i="5"/>
  <c r="H18" i="12"/>
  <c r="H4" i="2"/>
  <c r="H22" i="6"/>
  <c r="H2" i="10"/>
  <c r="H11" i="1"/>
  <c r="H5" i="7"/>
  <c r="H28" i="9"/>
  <c r="H8" i="10"/>
  <c r="H8" i="11"/>
  <c r="H23" i="8"/>
  <c r="H8" i="8"/>
  <c r="H4" i="4"/>
  <c r="H20" i="2"/>
  <c r="H28" i="5"/>
  <c r="I6" i="6" l="1"/>
  <c r="I4" i="6"/>
  <c r="I2" i="6"/>
  <c r="I3" i="6"/>
  <c r="I31" i="6"/>
  <c r="I30" i="6"/>
  <c r="I13" i="6"/>
  <c r="I10" i="6"/>
  <c r="I12" i="6"/>
  <c r="I9" i="6"/>
  <c r="I11" i="6"/>
  <c r="I27" i="6"/>
  <c r="I25" i="6"/>
  <c r="I26" i="6"/>
  <c r="I24" i="6"/>
  <c r="I23" i="6"/>
  <c r="I18" i="6"/>
  <c r="I19" i="6"/>
  <c r="I16" i="6"/>
  <c r="I17" i="6"/>
  <c r="I20" i="6"/>
  <c r="I3" i="4"/>
  <c r="I4" i="2"/>
  <c r="I27" i="2"/>
  <c r="I15" i="4"/>
  <c r="I13" i="1"/>
  <c r="I6" i="5"/>
  <c r="I10" i="1"/>
  <c r="I13" i="2"/>
  <c r="I16" i="5"/>
  <c r="I26" i="2"/>
  <c r="I18" i="2"/>
  <c r="I5" i="1"/>
  <c r="I28" i="4"/>
  <c r="I6" i="1"/>
  <c r="I10" i="4"/>
  <c r="I28" i="2"/>
  <c r="I31" i="4"/>
  <c r="I12" i="1"/>
  <c r="I11" i="1"/>
  <c r="I21" i="4"/>
  <c r="I12" i="2"/>
  <c r="I9" i="5"/>
  <c r="I25" i="1"/>
  <c r="I3" i="2"/>
  <c r="I29" i="4"/>
  <c r="I20" i="2"/>
  <c r="I23" i="5"/>
  <c r="I27" i="5"/>
  <c r="I3" i="1"/>
  <c r="I25" i="4"/>
  <c r="I11" i="2"/>
  <c r="I21" i="5"/>
  <c r="I30" i="5"/>
  <c r="I28" i="1"/>
  <c r="I28" i="5"/>
  <c r="I27" i="1"/>
  <c r="I9" i="4"/>
  <c r="I7" i="2"/>
  <c r="I23" i="4"/>
  <c r="I20" i="1"/>
  <c r="I18" i="1"/>
  <c r="I24" i="4"/>
  <c r="I20" i="5"/>
  <c r="I19" i="1"/>
  <c r="I25" i="2"/>
  <c r="I2" i="4"/>
  <c r="I19" i="2"/>
  <c r="I17" i="4"/>
  <c r="I8" i="5"/>
  <c r="I5" i="2"/>
  <c r="I24" i="1"/>
  <c r="I32" i="1"/>
  <c r="I22" i="5"/>
  <c r="I5" i="5"/>
  <c r="I11" i="4"/>
  <c r="I21" i="1"/>
  <c r="I10" i="2"/>
  <c r="I26" i="1"/>
  <c r="I8" i="4"/>
  <c r="I14" i="2"/>
  <c r="I16" i="4"/>
  <c r="I17" i="2"/>
  <c r="I7" i="1"/>
  <c r="I14" i="1"/>
  <c r="I4" i="4"/>
  <c r="I31" i="1"/>
  <c r="I17" i="1"/>
  <c r="I4" i="1"/>
  <c r="I18" i="4"/>
  <c r="I6" i="2"/>
  <c r="I14" i="5"/>
  <c r="I12" i="5"/>
  <c r="I7" i="5"/>
  <c r="I22" i="4"/>
  <c r="I21" i="2"/>
  <c r="I13" i="5"/>
  <c r="I30" i="4"/>
  <c r="I29" i="5"/>
  <c r="I24" i="2"/>
  <c r="I19" i="5"/>
  <c r="I14" i="4"/>
  <c r="I32" i="3"/>
  <c r="I24" i="3"/>
  <c r="N17" i="12"/>
  <c r="H13" i="13" s="1"/>
  <c r="N5" i="12"/>
  <c r="E13" i="13" s="1"/>
  <c r="N5" i="8"/>
  <c r="E9" i="13" s="1"/>
  <c r="N5" i="7"/>
  <c r="E8" i="13" s="1"/>
  <c r="N5" i="9"/>
  <c r="E10" i="13" s="1"/>
  <c r="N5" i="10"/>
  <c r="E11" i="13" s="1"/>
  <c r="N5" i="11"/>
  <c r="E12" i="13" s="1"/>
  <c r="N5" i="6" l="1"/>
  <c r="E7" i="13" s="1"/>
  <c r="N5" i="2"/>
  <c r="E3" i="13" s="1"/>
  <c r="N5" i="4"/>
  <c r="E5" i="13" s="1"/>
  <c r="N5" i="1"/>
  <c r="E4" i="13" s="1"/>
  <c r="N5" i="5"/>
  <c r="E6" i="13" s="1"/>
  <c r="I25" i="3"/>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<sst xmlns="http://schemas.openxmlformats.org/spreadsheetml/2006/main" count="610" uniqueCount="92">
  <si>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</si>
  <si>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</si>
  <si>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</si>
  <si>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</si>
  <si>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</si>
  <si>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</si>
  <si>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</si>
  <si>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</si>
  <si>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</si>
  <si>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</si>
  <si>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</si>
  <si>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</si>
  <si>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</si>
  <si>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</si>
  <si>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</si>
  <si>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</si>
  <si>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</si>
  <si>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</si>
  <si>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</si>
  <si>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</si>
  <si>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</si>
  <si>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</si>
  <si>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</si>
  <si>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</si>
  <si>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</si>
  <si>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</si>
  <si>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</si>
  <si>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</si>
  <si>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</si>
  <si>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</si>
  <si>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</si>
  <si>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</si>
  <si>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</si>
  <si>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</si>
  <si>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</si>
  <si>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</si>
  <si>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</si>
  <si>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</si>
  <si>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</si>
  <si>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</si>
  <si>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</si>
  <si>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</si>
  <si>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</si>
  <si>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</si>
  <si>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</si>
  <si>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</si>
  <si>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</si>
  <si>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</si>
  <si>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</si>
  <si>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</si>
  <si>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</si>
  <si>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</si>
  <si>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</si>
  <si>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</si>
  <si>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</si>
  <si>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</si>
  <si>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</si>
  <si>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</si>
  <si>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</si>
  <si>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</si>
  <si>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</si>
  <si>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</si>
  <si>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</si>
  <si>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</si>
  <si>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</si>
  <si>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</si>
  <si>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</si>
  <si>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</si>
  <si>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</si>
  <si>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</si>
  <si>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</si>
  <si>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</si>
  <si>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Wertingen</t>
  </si>
  <si>
    <t>Vorschuß € 1500</t>
  </si>
  <si>
    <t>Hohenburg</t>
  </si>
  <si>
    <t>Entmansberg</t>
  </si>
  <si>
    <t>Vorschuß € 1500,00</t>
  </si>
  <si>
    <t>Vorschuss € 2000,00</t>
  </si>
  <si>
    <t>Belege € 293,00</t>
  </si>
  <si>
    <t>Emtmannsberg</t>
  </si>
  <si>
    <t>Emtsmannsberg</t>
  </si>
  <si>
    <t>Arzberg</t>
  </si>
  <si>
    <t>Entmannsberg</t>
  </si>
  <si>
    <t>Vorschuß € 2010,00</t>
  </si>
  <si>
    <t>Mirko GASPARIN</t>
  </si>
  <si>
    <t>Aidingen</t>
  </si>
  <si>
    <t>Vorschuß € 2000,00</t>
  </si>
  <si>
    <t>Belege€ 300,70</t>
  </si>
  <si>
    <t>Stand 31.05.:</t>
  </si>
  <si>
    <t>Aidlingen</t>
  </si>
  <si>
    <t>Vorschuß € 3530,00</t>
  </si>
  <si>
    <t>Kran Prüfungkosten € 38,50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</si>
</sst>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10"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
      <b/>
      <sz val="11"/>
      <color rgb="FFFF0000"/>
      <name val="Calibri"/>
      <family val="2"/>
      <scheme val="minor"/>
    </font>
  </fonts>
  <fills count="12">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rgb="FFFF0000"/>
        <bgColor indexed="64"/>
      </patternFill>
    </fill>
    <fill>
      <patternFill patternType="solid">
        <fgColor rgb="FF92D050"/>
        <bgColor indexed="64"/>
      </patternFill>
    </fill>
    <fill>
      <patternFill patternType="solid">
        <fgColor rgb="FF00B050"/>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50">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1" fillId="9" borderId="0" xfId="0" applyFont="1" applyFill="1" applyProtection="1">
      <protection locked="0"/>
    </xf>
    <xf numFmtId="0" fontId="3" fillId="9" borderId="0" xfId="0" applyFont="1" applyFill="1" applyProtection="1">
      <protection locked="0"/>
    </xf>
    <xf numFmtId="0" fontId="3" fillId="10" borderId="0" xfId="0" applyFont="1" applyFill="1" applyProtection="1">
      <protection locked="0"/>
    </xf>
    <xf numFmtId="0" fontId="3" fillId="11" borderId="0" xfId="0" applyFont="1" applyFill="1" applyProtection="1">
      <protection locked="0"/>
    </xf>
    <xf numFmtId="164" fontId="0" fillId="0" borderId="1" xfId="2" applyFont="1" applyBorder="1" applyProtection="1">
      <protection locked="0"/>
    </xf>
    <xf numFmtId="0" fontId="9" fillId="0" borderId="0" xfId="0" applyFont="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cellXfs>
  <cellStyles count="3">
    <cellStyle name="Link" xfId="1" builtinId="8"/>
    <cellStyle name="Standard" xfId="0" builtinId="0"/>
    <cellStyle name="Währung" xfId="2" builtinId="4"/>
  </cellStyles>
  <dxfs count="52">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38100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38100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38100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38100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38100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38100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38100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topLeftCell="A8" zoomScaleNormal="100" workbookViewId="0">
      <selection activeCell="D20" sqref="D20:F24"/>
    </sheetView>
  </sheetViews>
  <sheetFormatPr baseColWidth="10" defaultColWidth="11.453125" defaultRowHeight="14.5" x14ac:dyDescent="0.35"/>
  <cols>
    <col min="1" max="1" width="6.816406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bestFit="1" customWidth="1"/>
    <col min="11" max="11" width="11.453125" style="2"/>
    <col min="12" max="12" width="11.6328125" style="2" bestFit="1" customWidth="1"/>
    <col min="13" max="13" width="26.453125" style="25" bestFit="1" customWidth="1"/>
    <col min="14" max="16" width="11.453125" style="2"/>
    <col min="17" max="17" width="13.1796875" style="2" bestFit="1" customWidth="1"/>
    <col min="18" max="16384" width="11.453125" style="2"/>
  </cols>
  <sheetData>
    <row r="1" spans="1:21" s="22" customFormat="1" x14ac:dyDescent="0.35">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35">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t="s">
        <v>71</v>
      </c>
      <c r="K2" s="39"/>
      <c r="L2" s="39"/>
      <c r="O2" s="35"/>
      <c r="Q2" s="7"/>
    </row>
    <row r="3" spans="1:21" x14ac:dyDescent="0.35">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7" t="str">
        <f>Gesamt!A3</f>
        <v>Mirko GASPARIN</v>
      </c>
      <c r="N3" s="47"/>
      <c r="O3" s="35"/>
      <c r="Q3" s="7"/>
    </row>
    <row r="4" spans="1:21" x14ac:dyDescent="0.35">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35">
      <c r="A5" s="29">
        <v>46026</v>
      </c>
      <c r="B5" t="str">
        <f t="shared" si="0"/>
        <v>So</v>
      </c>
      <c r="C5" s="26"/>
      <c r="G5" s="27">
        <f t="shared" si="1"/>
        <v>0</v>
      </c>
      <c r="H5" s="27">
        <f ca="1">IF(Q5&lt;&gt;"",Q5,IF(OR(C5="Feiertag",A5&lt;Gesamt!$B$11,A5&gt;Gesamt!$B$13,),0,INDIRECT("N"&amp;WEEKDAY(A5,2)+19)))</f>
        <v>0</v>
      </c>
      <c r="I5" s="27">
        <f t="shared" si="2"/>
        <v>0</v>
      </c>
      <c r="J5" s="7"/>
      <c r="K5" s="39"/>
      <c r="L5" s="39"/>
      <c r="M5" s="1" t="s">
        <v>8</v>
      </c>
      <c r="N5" s="27">
        <f ca="1">SUM(I2:I32)</f>
        <v>-1.9539925233402755E-14</v>
      </c>
      <c r="O5" s="35"/>
      <c r="Q5" s="7"/>
    </row>
    <row r="6" spans="1:21" x14ac:dyDescent="0.35">
      <c r="A6" s="29">
        <v>46027</v>
      </c>
      <c r="B6" t="str">
        <f t="shared" si="0"/>
        <v>Mo</v>
      </c>
      <c r="G6" s="27">
        <f t="shared" si="1"/>
        <v>0</v>
      </c>
      <c r="H6" s="27">
        <f ca="1">IF(Q6&lt;&gt;"",Q6,IF(OR(C6="Feiertag",A6&lt;Gesamt!$B$11,A6&gt;Gesamt!$B$13,),0,INDIRECT("N"&amp;WEEKDAY(A6,2)+19)))</f>
        <v>0</v>
      </c>
      <c r="I6" s="27">
        <f t="shared" si="2"/>
        <v>0</v>
      </c>
      <c r="J6" s="7"/>
      <c r="K6" s="39"/>
      <c r="L6" s="39"/>
      <c r="O6" s="35"/>
      <c r="Q6" s="7"/>
    </row>
    <row r="7" spans="1:21" x14ac:dyDescent="0.35">
      <c r="A7" s="29">
        <v>46028</v>
      </c>
      <c r="B7" t="str">
        <f t="shared" si="0"/>
        <v>Di</v>
      </c>
      <c r="G7" s="27">
        <f t="shared" si="1"/>
        <v>0</v>
      </c>
      <c r="H7" s="27">
        <f ca="1">IF(Q7&lt;&gt;"",Q7,IF(OR(C7="Feiertag",A7&lt;Gesamt!$B$11,A7&gt;Gesamt!$B$13,),0,INDIRECT("N"&amp;WEEKDAY(A7,2)+19)))</f>
        <v>0</v>
      </c>
      <c r="I7" s="27">
        <f t="shared" si="2"/>
        <v>0</v>
      </c>
      <c r="J7" s="7"/>
      <c r="K7" s="39"/>
      <c r="L7" s="39"/>
      <c r="M7" s="1" t="s">
        <v>59</v>
      </c>
      <c r="N7" s="27">
        <f ca="1">Gesamt!B9+Gesamt!E2-Gesamt!J2</f>
        <v>-1.9539925233402755E-14</v>
      </c>
      <c r="O7" s="35"/>
      <c r="Q7" s="7"/>
    </row>
    <row r="8" spans="1:21" x14ac:dyDescent="0.35">
      <c r="A8" s="29">
        <v>46029</v>
      </c>
      <c r="B8" t="str">
        <f t="shared" si="0"/>
        <v>Mi</v>
      </c>
      <c r="G8" s="27">
        <f t="shared" si="1"/>
        <v>0</v>
      </c>
      <c r="H8" s="27">
        <f ca="1">IF(Q8&lt;&gt;"",Q8,IF(OR(C8="Feiertag",A8&lt;Gesamt!$B$11,A8&gt;Gesamt!$B$13,),0,INDIRECT("N"&amp;WEEKDAY(A8,2)+19)))</f>
        <v>0</v>
      </c>
      <c r="I8" s="27">
        <f t="shared" si="2"/>
        <v>0</v>
      </c>
      <c r="J8" s="7"/>
      <c r="K8" s="39"/>
      <c r="L8" s="39"/>
      <c r="O8" s="35"/>
      <c r="Q8" s="7"/>
    </row>
    <row r="9" spans="1:21" x14ac:dyDescent="0.35">
      <c r="A9" s="29">
        <v>46030</v>
      </c>
      <c r="B9" t="str">
        <f t="shared" si="0"/>
        <v>Do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21" x14ac:dyDescent="0.35">
      <c r="A10" s="29">
        <v>46031</v>
      </c>
      <c r="B10" t="str">
        <f t="shared" si="0"/>
        <v>Fr</v>
      </c>
      <c r="G10" s="27">
        <f t="shared" si="1"/>
        <v>0</v>
      </c>
      <c r="H10" s="27">
        <f ca="1">IF(Q10&lt;&gt;"",Q10,IF(OR(C10="Feiertag",A10&lt;Gesamt!$B$11,A10&gt;Gesamt!$B$13,),0,INDIRECT("N"&amp;WEEKDAY(A10,2)+19)))</f>
        <v>0</v>
      </c>
      <c r="I10" s="27">
        <f t="shared" si="2"/>
        <v>0</v>
      </c>
      <c r="J10" s="7"/>
      <c r="K10" s="39"/>
      <c r="L10" s="39"/>
      <c r="O10" s="35"/>
      <c r="Q10" s="7"/>
    </row>
    <row r="11" spans="1:21" x14ac:dyDescent="0.35">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35">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35">
      <c r="A13" s="29">
        <v>46034</v>
      </c>
      <c r="B13" t="str">
        <f t="shared" si="0"/>
        <v>Mo</v>
      </c>
      <c r="G13" s="27">
        <f t="shared" si="1"/>
        <v>0</v>
      </c>
      <c r="H13" s="27">
        <f ca="1">IF(Q13&lt;&gt;"",Q13,IF(OR(C13="Feiertag",A13&lt;Gesamt!$B$11,A13&gt;Gesamt!$B$13,),0,INDIRECT("N"&amp;WEEKDAY(A13,2)+19)))</f>
        <v>8</v>
      </c>
      <c r="I13" s="27">
        <f t="shared" si="2"/>
        <v>0</v>
      </c>
      <c r="J13" s="7"/>
      <c r="K13" s="39">
        <v>35.299999999999997</v>
      </c>
      <c r="L13" s="39">
        <v>27.9</v>
      </c>
      <c r="M13" s="1" t="s">
        <v>26</v>
      </c>
      <c r="N13">
        <f>COUNTIF(C2:C32, "Urlaub")+COUNTIF(C2:C32,"Urlaub halber Tag")/2</f>
        <v>0</v>
      </c>
      <c r="O13" s="35"/>
      <c r="Q13" s="7"/>
    </row>
    <row r="14" spans="1:21" x14ac:dyDescent="0.35">
      <c r="A14" s="29">
        <v>46035</v>
      </c>
      <c r="B14" t="str">
        <f t="shared" si="0"/>
        <v>Di</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72</v>
      </c>
      <c r="K14" s="39">
        <v>35.299999999999997</v>
      </c>
      <c r="L14" s="39">
        <v>27.9</v>
      </c>
      <c r="O14" s="35"/>
      <c r="Q14" s="7"/>
    </row>
    <row r="15" spans="1:21" x14ac:dyDescent="0.35">
      <c r="A15" s="29">
        <v>46036</v>
      </c>
      <c r="B15" t="str">
        <f t="shared" si="0"/>
        <v>Mi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t="s">
        <v>72</v>
      </c>
      <c r="K15" s="39">
        <v>35.299999999999997</v>
      </c>
      <c r="L15" s="39">
        <v>27.9</v>
      </c>
      <c r="M15" s="1" t="s">
        <v>58</v>
      </c>
      <c r="N15">
        <f>Gesamt!B5+Gesamt!B7-Gesamt!G2</f>
        <v>24</v>
      </c>
      <c r="O15" s="35"/>
      <c r="Q15" s="7"/>
    </row>
    <row r="16" spans="1:21" x14ac:dyDescent="0.35">
      <c r="A16" s="29">
        <v>46037</v>
      </c>
      <c r="B16" t="str">
        <f t="shared" si="0"/>
        <v>Do</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72</v>
      </c>
      <c r="K16" s="39">
        <v>35.299999999999997</v>
      </c>
      <c r="L16" s="39">
        <v>27.9</v>
      </c>
      <c r="M16" s="2"/>
      <c r="O16" s="35"/>
      <c r="Q16" s="7"/>
    </row>
    <row r="17" spans="1:17" x14ac:dyDescent="0.35">
      <c r="A17" s="29">
        <v>46038</v>
      </c>
      <c r="B17" t="str">
        <f t="shared" si="0"/>
        <v>Fr</v>
      </c>
      <c r="D17" s="24">
        <v>0.29166666666666669</v>
      </c>
      <c r="E17" s="24">
        <v>0.5625</v>
      </c>
      <c r="G17" s="27">
        <f t="shared" si="1"/>
        <v>6.5</v>
      </c>
      <c r="H17" s="27">
        <f ca="1">IF(Q17&lt;&gt;"",Q17,IF(OR(C17="Feiertag",A17&lt;Gesamt!$B$11,A17&gt;Gesamt!$B$13,),0,INDIRECT("N"&amp;WEEKDAY(A17,2)+19)))</f>
        <v>6.5</v>
      </c>
      <c r="I17" s="27">
        <f t="shared" ca="1" si="2"/>
        <v>0</v>
      </c>
      <c r="J17" s="7" t="s">
        <v>72</v>
      </c>
      <c r="K17" s="39">
        <v>35.299999999999997</v>
      </c>
      <c r="L17" s="39">
        <v>27.9</v>
      </c>
      <c r="M17" s="1" t="s">
        <v>50</v>
      </c>
      <c r="N17" s="27">
        <f>SUM(G2:G32)</f>
        <v>107.5</v>
      </c>
      <c r="O17" s="35"/>
      <c r="Q17" s="7"/>
    </row>
    <row r="18" spans="1:17" x14ac:dyDescent="0.35">
      <c r="A18" s="29">
        <v>46039</v>
      </c>
      <c r="B18" t="str">
        <f t="shared" si="0"/>
        <v>Sa</v>
      </c>
      <c r="G18" s="27">
        <f t="shared" si="1"/>
        <v>0</v>
      </c>
      <c r="H18" s="27">
        <f ca="1">IF(Q18&lt;&gt;"",Q18,IF(OR(C18="Feiertag",A18&lt;Gesamt!$B$11,A18&gt;Gesamt!$B$13,),0,INDIRECT("N"&amp;WEEKDAY(A18,2)+19)))</f>
        <v>0</v>
      </c>
      <c r="I18" s="27">
        <f t="shared" si="2"/>
        <v>0</v>
      </c>
      <c r="J18" s="7" t="s">
        <v>72</v>
      </c>
      <c r="K18" s="39">
        <v>35.299999999999997</v>
      </c>
      <c r="L18" s="39">
        <v>27.9</v>
      </c>
      <c r="O18" s="35"/>
      <c r="Q18" s="7"/>
    </row>
    <row r="19" spans="1:17" x14ac:dyDescent="0.35">
      <c r="A19" s="29">
        <v>46040</v>
      </c>
      <c r="B19" t="str">
        <f t="shared" si="0"/>
        <v>So</v>
      </c>
      <c r="G19" s="27">
        <f t="shared" si="1"/>
        <v>0</v>
      </c>
      <c r="H19" s="27">
        <f ca="1">IF(Q19&lt;&gt;"",Q19,IF(OR(C19="Feiertag",A19&lt;Gesamt!$B$11,A19&gt;Gesamt!$B$13,),0,INDIRECT("N"&amp;WEEKDAY(A19,2)+19)))</f>
        <v>0</v>
      </c>
      <c r="I19" s="27">
        <f t="shared" si="2"/>
        <v>0</v>
      </c>
      <c r="J19" s="7" t="s">
        <v>72</v>
      </c>
      <c r="K19" s="39">
        <v>35.299999999999997</v>
      </c>
      <c r="L19" s="39">
        <v>27.9</v>
      </c>
      <c r="M19" s="13" t="s">
        <v>6</v>
      </c>
      <c r="O19" s="35"/>
      <c r="Q19" s="7"/>
    </row>
    <row r="20" spans="1:17" x14ac:dyDescent="0.35">
      <c r="A20" s="29">
        <v>46041</v>
      </c>
      <c r="B20" t="str">
        <f t="shared" si="0"/>
        <v>Mo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72</v>
      </c>
      <c r="K20" s="39">
        <v>35.299999999999997</v>
      </c>
      <c r="L20" s="39">
        <v>27.9</v>
      </c>
      <c r="M20" s="6" t="s">
        <v>43</v>
      </c>
      <c r="N20" s="7">
        <f>Gesamt!C30</f>
        <v>8</v>
      </c>
      <c r="O20" s="35"/>
      <c r="Q20" s="7"/>
    </row>
    <row r="21" spans="1:17" x14ac:dyDescent="0.35">
      <c r="A21" s="29">
        <v>46042</v>
      </c>
      <c r="B21" t="str">
        <f t="shared" si="0"/>
        <v>Di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72</v>
      </c>
      <c r="K21" s="39">
        <v>35.299999999999997</v>
      </c>
      <c r="L21" s="39">
        <v>27.9</v>
      </c>
      <c r="M21" s="6" t="s">
        <v>44</v>
      </c>
      <c r="N21" s="7">
        <f>Gesamt!C31</f>
        <v>8</v>
      </c>
      <c r="O21" s="35"/>
      <c r="Q21" s="7"/>
    </row>
    <row r="22" spans="1:17" x14ac:dyDescent="0.35">
      <c r="A22" s="29">
        <v>46043</v>
      </c>
      <c r="B22" t="str">
        <f t="shared" si="0"/>
        <v>Mi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72</v>
      </c>
      <c r="K22" s="39">
        <v>35.299999999999997</v>
      </c>
      <c r="L22" s="39">
        <v>27.9</v>
      </c>
      <c r="M22" s="6" t="s">
        <v>45</v>
      </c>
      <c r="N22" s="7">
        <f>Gesamt!C32</f>
        <v>8</v>
      </c>
      <c r="O22" s="35"/>
      <c r="Q22" s="7"/>
    </row>
    <row r="23" spans="1:17" x14ac:dyDescent="0.35">
      <c r="A23" s="29">
        <v>46044</v>
      </c>
      <c r="B23" t="str">
        <f t="shared" si="0"/>
        <v>Do</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72</v>
      </c>
      <c r="K23" s="39">
        <v>35.299999999999997</v>
      </c>
      <c r="L23" s="39">
        <v>27.9</v>
      </c>
      <c r="M23" s="6" t="s">
        <v>46</v>
      </c>
      <c r="N23" s="7">
        <f>Gesamt!C33</f>
        <v>8</v>
      </c>
      <c r="O23" s="35"/>
      <c r="Q23" s="7"/>
    </row>
    <row r="24" spans="1:17" x14ac:dyDescent="0.35">
      <c r="A24" s="29">
        <v>46045</v>
      </c>
      <c r="B24" t="str">
        <f t="shared" si="0"/>
        <v>Fr</v>
      </c>
      <c r="D24" s="24">
        <v>0.29166666666666669</v>
      </c>
      <c r="E24" s="24">
        <v>0.5625</v>
      </c>
      <c r="G24" s="27">
        <f t="shared" si="1"/>
        <v>6.5</v>
      </c>
      <c r="H24" s="27">
        <f ca="1">IF(Q24&lt;&gt;"",Q24,IF(OR(C24="Feiertag",A24&lt;Gesamt!$B$11,A24&gt;Gesamt!$B$13,),0,INDIRECT("N"&amp;WEEKDAY(A24,2)+19)))</f>
        <v>6.5</v>
      </c>
      <c r="I24" s="27">
        <f t="shared" ca="1" si="2"/>
        <v>0</v>
      </c>
      <c r="J24" s="7" t="s">
        <v>72</v>
      </c>
      <c r="K24" s="39">
        <v>35.299999999999997</v>
      </c>
      <c r="L24" s="39">
        <v>27.9</v>
      </c>
      <c r="M24" s="6" t="s">
        <v>47</v>
      </c>
      <c r="N24" s="7">
        <f>Gesamt!C34</f>
        <v>6.5</v>
      </c>
      <c r="O24" s="35"/>
      <c r="Q24" s="7"/>
    </row>
    <row r="25" spans="1:17" x14ac:dyDescent="0.35">
      <c r="A25" s="29">
        <v>46046</v>
      </c>
      <c r="B25" t="str">
        <f t="shared" si="0"/>
        <v>Sa</v>
      </c>
      <c r="G25" s="27">
        <f t="shared" si="1"/>
        <v>0</v>
      </c>
      <c r="H25" s="27">
        <f ca="1">IF(Q25&lt;&gt;"",Q25,IF(OR(C25="Feiertag",A25&lt;Gesamt!$B$11,A25&gt;Gesamt!$B$13,),0,INDIRECT("N"&amp;WEEKDAY(A25,2)+19)))</f>
        <v>0</v>
      </c>
      <c r="I25" s="27">
        <f t="shared" si="2"/>
        <v>0</v>
      </c>
      <c r="J25" s="7" t="s">
        <v>72</v>
      </c>
      <c r="K25" s="39">
        <v>35.299999999999997</v>
      </c>
      <c r="L25" s="39">
        <v>27.9</v>
      </c>
      <c r="M25" s="6" t="s">
        <v>48</v>
      </c>
      <c r="N25" s="7">
        <f>Gesamt!C35</f>
        <v>0</v>
      </c>
      <c r="O25" s="35"/>
      <c r="Q25" s="7"/>
    </row>
    <row r="26" spans="1:17" x14ac:dyDescent="0.35">
      <c r="A26" s="29">
        <v>46047</v>
      </c>
      <c r="B26" t="str">
        <f t="shared" si="0"/>
        <v>So</v>
      </c>
      <c r="G26" s="27">
        <f t="shared" si="1"/>
        <v>0</v>
      </c>
      <c r="H26" s="27">
        <f ca="1">IF(Q26&lt;&gt;"",Q26,IF(OR(C26="Feiertag",A26&lt;Gesamt!$B$11,A26&gt;Gesamt!$B$13,),0,INDIRECT("N"&amp;WEEKDAY(A26,2)+19)))</f>
        <v>0</v>
      </c>
      <c r="I26" s="27">
        <f>IF(OR(C26="Überstundenabbau",C26="Urlaub halber Tag",E26&lt;&gt;""),G26-H26,0)</f>
        <v>0</v>
      </c>
      <c r="J26" s="7" t="s">
        <v>72</v>
      </c>
      <c r="K26" s="39">
        <v>35.299999999999997</v>
      </c>
      <c r="L26" s="39">
        <v>27.9</v>
      </c>
      <c r="M26" s="6" t="s">
        <v>49</v>
      </c>
      <c r="N26" s="7">
        <f>Gesamt!C36</f>
        <v>0</v>
      </c>
      <c r="O26" s="35"/>
      <c r="Q26" s="7"/>
    </row>
    <row r="27" spans="1:17" x14ac:dyDescent="0.35">
      <c r="A27" s="29">
        <v>46048</v>
      </c>
      <c r="B27" t="str">
        <f t="shared" si="0"/>
        <v>Mo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72</v>
      </c>
      <c r="K27" s="39">
        <v>35.299999999999997</v>
      </c>
      <c r="L27" s="39"/>
      <c r="M27" s="13" t="s">
        <v>54</v>
      </c>
      <c r="N27" s="27">
        <f>SUM(N20:N26)</f>
        <v>38.5</v>
      </c>
      <c r="O27" s="35"/>
      <c r="Q27" s="7"/>
    </row>
    <row r="28" spans="1:17" x14ac:dyDescent="0.35">
      <c r="A28" s="29">
        <v>46049</v>
      </c>
      <c r="B28" t="str">
        <f t="shared" si="0"/>
        <v>Di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72</v>
      </c>
      <c r="K28" s="39">
        <v>35.299999999999997</v>
      </c>
      <c r="L28" s="39"/>
      <c r="O28" s="35"/>
      <c r="Q28" s="7"/>
    </row>
    <row r="29" spans="1:17" x14ac:dyDescent="0.35">
      <c r="A29" s="29">
        <v>46050</v>
      </c>
      <c r="B29" t="str">
        <f t="shared" si="0"/>
        <v>Mi</v>
      </c>
      <c r="D29" s="24">
        <v>0.29166666666666669</v>
      </c>
      <c r="E29" s="24">
        <v>0.66666666666666663</v>
      </c>
      <c r="F29" s="24">
        <v>4.1666666666666664E-2</v>
      </c>
      <c r="G29" s="27">
        <f t="shared" si="1"/>
        <v>7.9999999999999982</v>
      </c>
      <c r="H29" s="27">
        <f ca="1">IF(Q29&lt;&gt;"",Q29,IF(OR(C29="Feiertag",A29&lt;Gesamt!$B$11,A29&gt;Gesamt!$B$13,),0,INDIRECT("N"&amp;WEEKDAY(A29,2)+19)))</f>
        <v>8</v>
      </c>
      <c r="I29" s="27">
        <f ca="1">IF(OR(C29="Überstundenabbau",C29="Urlaub halber Tag",E29&lt;&gt;""),G29-H29,0)</f>
        <v>-1.7763568394002505E-15</v>
      </c>
      <c r="J29" s="7" t="s">
        <v>72</v>
      </c>
      <c r="K29" s="39">
        <v>35.299999999999997</v>
      </c>
      <c r="L29" s="39"/>
      <c r="O29" s="35"/>
      <c r="Q29" s="7"/>
    </row>
    <row r="30" spans="1:17" x14ac:dyDescent="0.35">
      <c r="A30" s="29">
        <v>46051</v>
      </c>
      <c r="B30" t="str">
        <f t="shared" si="0"/>
        <v>Do</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72</v>
      </c>
      <c r="K30" s="39">
        <v>35.299999999999997</v>
      </c>
      <c r="L30" s="39"/>
      <c r="M30" s="41" t="s">
        <v>73</v>
      </c>
      <c r="O30" s="35"/>
      <c r="Q30" s="7"/>
    </row>
    <row r="31" spans="1:17" x14ac:dyDescent="0.35">
      <c r="A31" s="29">
        <v>46052</v>
      </c>
      <c r="B31" t="str">
        <f t="shared" si="0"/>
        <v>Fr</v>
      </c>
      <c r="D31" s="24">
        <v>0.29166666666666669</v>
      </c>
      <c r="E31" s="24">
        <v>0.5625</v>
      </c>
      <c r="G31" s="27">
        <f t="shared" si="1"/>
        <v>6.5</v>
      </c>
      <c r="H31" s="27">
        <f ca="1">IF(Q31&lt;&gt;"",Q31,IF(OR(C31="Feiertag",A31&lt;Gesamt!$B$11,A31&gt;Gesamt!$B$13,),0,INDIRECT("N"&amp;WEEKDAY(A31,2)+19)))</f>
        <v>6.5</v>
      </c>
      <c r="I31" s="27">
        <f t="shared" ca="1" si="2"/>
        <v>0</v>
      </c>
      <c r="J31" s="7" t="s">
        <v>72</v>
      </c>
      <c r="K31" s="39">
        <v>35.299999999999997</v>
      </c>
      <c r="L31" s="39"/>
      <c r="M31" s="41"/>
      <c r="O31" s="35"/>
      <c r="Q31" s="7"/>
    </row>
    <row r="32" spans="1:17" x14ac:dyDescent="0.35">
      <c r="A32" s="29">
        <v>46053</v>
      </c>
      <c r="B32" t="str">
        <f t="shared" si="0"/>
        <v>Sa</v>
      </c>
      <c r="G32" s="27">
        <f t="shared" si="1"/>
        <v>0</v>
      </c>
      <c r="H32" s="27">
        <f ca="1">IF(Q32&lt;&gt;"",Q32,IF(OR(C32="Feiertag",A32&lt;Gesamt!$B$11,A32&gt;Gesamt!$B$13,),0,INDIRECT("N"&amp;WEEKDAY(A32,2)+19)))</f>
        <v>0</v>
      </c>
      <c r="I32" s="27">
        <f t="shared" si="2"/>
        <v>0</v>
      </c>
      <c r="J32" s="7" t="s">
        <v>72</v>
      </c>
      <c r="K32" s="39">
        <v>35.299999999999997</v>
      </c>
      <c r="L32" s="39"/>
      <c r="O32" s="35"/>
      <c r="Q32" s="7"/>
    </row>
    <row r="33" spans="10:12" x14ac:dyDescent="0.35">
      <c r="K33" s="39"/>
      <c r="L33" s="39"/>
    </row>
    <row r="34" spans="10:12" x14ac:dyDescent="0.35">
      <c r="J34" s="2" t="s">
        <v>68</v>
      </c>
      <c r="K34" s="39">
        <f>SUM(K2:K33)</f>
        <v>705.99999999999989</v>
      </c>
      <c r="L34" s="39">
        <f>SUM(L2:L33)</f>
        <v>390.59999999999991</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51" priority="1">
      <formula>$C2="Feiertag"</formula>
    </cfRule>
    <cfRule type="expression" dxfId="50"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topLeftCell="A9" zoomScaleNormal="100" workbookViewId="0">
      <selection activeCell="L2" sqref="L2"/>
    </sheetView>
  </sheetViews>
  <sheetFormatPr baseColWidth="10" defaultColWidth="11.453125" defaultRowHeight="14.5" x14ac:dyDescent="0.3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ht="15" customHeigh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35">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v>35.340000000000003</v>
      </c>
      <c r="L2" s="39">
        <v>27.9</v>
      </c>
      <c r="M2" s="25"/>
      <c r="O2" s="35"/>
      <c r="Q2" s="7"/>
    </row>
    <row r="3" spans="1:17" x14ac:dyDescent="0.35">
      <c r="A3" s="29">
        <v>46055</v>
      </c>
      <c r="B3" t="str">
        <f t="shared" ref="B3:B29" si="0">TEXT(A3,"TTT")</f>
        <v>Mo</v>
      </c>
      <c r="D3" s="24">
        <v>0.29166666666666669</v>
      </c>
      <c r="E3" s="24">
        <v>0.66666666666666663</v>
      </c>
      <c r="F3" s="24">
        <v>4.1666666666666664E-2</v>
      </c>
      <c r="G3" s="27">
        <f t="shared" ref="G3:G29"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29" ca="1" si="2">IF(OR(C3="Überstundenabbau",C3="Urlaub halber Tag",E3&lt;&gt;""),G3-H3,0)</f>
        <v>-1.7763568394002505E-15</v>
      </c>
      <c r="J3" s="7" t="s">
        <v>74</v>
      </c>
      <c r="K3" s="39">
        <v>35.340000000000003</v>
      </c>
      <c r="L3" s="39">
        <v>27.9</v>
      </c>
      <c r="M3" s="47" t="str">
        <f>Gesamt!A3</f>
        <v>Mirko GASPARIN</v>
      </c>
      <c r="N3" s="47"/>
      <c r="O3" s="35"/>
      <c r="Q3" s="7"/>
    </row>
    <row r="4" spans="1:17" x14ac:dyDescent="0.35">
      <c r="A4" s="29">
        <v>46056</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74</v>
      </c>
      <c r="K4" s="39">
        <v>35.340000000000003</v>
      </c>
      <c r="L4" s="39">
        <v>27.9</v>
      </c>
      <c r="O4" s="35"/>
      <c r="Q4" s="7"/>
    </row>
    <row r="5" spans="1:17" x14ac:dyDescent="0.35">
      <c r="A5" s="29">
        <v>46057</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74</v>
      </c>
      <c r="K5" s="39">
        <v>35.340000000000003</v>
      </c>
      <c r="L5" s="39">
        <v>27.9</v>
      </c>
      <c r="M5" s="1" t="s">
        <v>8</v>
      </c>
      <c r="N5" s="27">
        <f ca="1">SUM(I2:I32)</f>
        <v>-2.8421709430404007E-14</v>
      </c>
      <c r="O5" s="35"/>
      <c r="Q5" s="7"/>
    </row>
    <row r="6" spans="1:17" x14ac:dyDescent="0.35">
      <c r="A6" s="29">
        <v>46058</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74</v>
      </c>
      <c r="K6" s="39">
        <v>35.340000000000003</v>
      </c>
      <c r="L6" s="39">
        <v>27.9</v>
      </c>
      <c r="M6" s="25"/>
      <c r="O6" s="35"/>
      <c r="Q6" s="7"/>
    </row>
    <row r="7" spans="1:17" x14ac:dyDescent="0.35">
      <c r="A7" s="29">
        <v>46059</v>
      </c>
      <c r="B7" t="str">
        <f t="shared" si="0"/>
        <v>Fr</v>
      </c>
      <c r="D7" s="24">
        <v>0.29166666666666669</v>
      </c>
      <c r="E7" s="24">
        <v>0.5625</v>
      </c>
      <c r="G7" s="27">
        <f t="shared" si="1"/>
        <v>6.5</v>
      </c>
      <c r="H7" s="27">
        <f ca="1">IF(Q7&lt;&gt;"",Q7,IF(OR(C7="Feiertag",A7&lt;Gesamt!$B$11,A7&gt;Gesamt!$B$13,),0,INDIRECT("N"&amp;WEEKDAY(A7,2)+19)))</f>
        <v>6.5</v>
      </c>
      <c r="I7" s="27">
        <f t="shared" ca="1" si="2"/>
        <v>0</v>
      </c>
      <c r="J7" s="7" t="s">
        <v>74</v>
      </c>
      <c r="K7" s="39">
        <v>35.340000000000003</v>
      </c>
      <c r="L7" s="39">
        <v>27.9</v>
      </c>
      <c r="M7" s="1" t="s">
        <v>59</v>
      </c>
      <c r="N7" s="27">
        <f ca="1">Gesamt!B9+SUM(Gesamt!E2:E3)-SUM(Gesamt!J2:J3)</f>
        <v>-4.7961634663806763E-14</v>
      </c>
      <c r="O7" s="35"/>
      <c r="Q7" s="7"/>
    </row>
    <row r="8" spans="1:17" x14ac:dyDescent="0.35">
      <c r="A8" s="29">
        <v>46060</v>
      </c>
      <c r="B8" t="str">
        <f t="shared" si="0"/>
        <v>Sa</v>
      </c>
      <c r="G8" s="27">
        <f t="shared" si="1"/>
        <v>0</v>
      </c>
      <c r="H8" s="27">
        <f ca="1">IF(Q8&lt;&gt;"",Q8,IF(OR(C8="Feiertag",A8&lt;Gesamt!$B$11,A8&gt;Gesamt!$B$13,),0,INDIRECT("N"&amp;WEEKDAY(A8,2)+19)))</f>
        <v>0</v>
      </c>
      <c r="I8" s="27">
        <f t="shared" si="2"/>
        <v>0</v>
      </c>
      <c r="J8" s="7" t="s">
        <v>74</v>
      </c>
      <c r="K8" s="39">
        <v>35.340000000000003</v>
      </c>
      <c r="L8" s="39">
        <v>27.9</v>
      </c>
      <c r="M8" s="25"/>
      <c r="O8" s="35"/>
      <c r="Q8" s="7"/>
    </row>
    <row r="9" spans="1:17" x14ac:dyDescent="0.35">
      <c r="A9" s="29">
        <v>46061</v>
      </c>
      <c r="B9" t="str">
        <f t="shared" si="0"/>
        <v>So</v>
      </c>
      <c r="G9" s="27">
        <f t="shared" si="1"/>
        <v>0</v>
      </c>
      <c r="H9" s="27">
        <f ca="1">IF(Q9&lt;&gt;"",Q9,IF(OR(C9="Feiertag",A9&lt;Gesamt!$B$11,A9&gt;Gesamt!$B$13,),0,INDIRECT("N"&amp;WEEKDAY(A9,2)+19)))</f>
        <v>0</v>
      </c>
      <c r="I9" s="27">
        <f t="shared" si="2"/>
        <v>0</v>
      </c>
      <c r="J9" s="7" t="s">
        <v>74</v>
      </c>
      <c r="K9" s="39">
        <v>35.340000000000003</v>
      </c>
      <c r="L9" s="39">
        <v>27.9</v>
      </c>
      <c r="M9" s="1" t="s">
        <v>25</v>
      </c>
      <c r="N9">
        <f>COUNTIF(C2:C32,"krank")</f>
        <v>0</v>
      </c>
      <c r="O9" s="35"/>
      <c r="Q9" s="7"/>
    </row>
    <row r="10" spans="1:17" x14ac:dyDescent="0.35">
      <c r="A10" s="29">
        <v>46062</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74</v>
      </c>
      <c r="K10" s="39">
        <v>35.340000000000003</v>
      </c>
      <c r="L10" s="39">
        <v>27.9</v>
      </c>
      <c r="M10" s="25"/>
      <c r="O10" s="35"/>
      <c r="Q10" s="7"/>
    </row>
    <row r="11" spans="1:17" x14ac:dyDescent="0.35">
      <c r="A11" s="29">
        <v>46063</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74</v>
      </c>
      <c r="K11" s="39">
        <v>35.340000000000003</v>
      </c>
      <c r="L11" s="39">
        <v>27.9</v>
      </c>
      <c r="M11" s="1" t="s">
        <v>57</v>
      </c>
      <c r="N11" s="28">
        <f>SUM(Gesamt!F2:F3)</f>
        <v>0</v>
      </c>
      <c r="O11" s="35"/>
      <c r="Q11" s="7"/>
    </row>
    <row r="12" spans="1:17" x14ac:dyDescent="0.35">
      <c r="A12" s="29">
        <v>46064</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74</v>
      </c>
      <c r="K12" s="39">
        <v>35.340000000000003</v>
      </c>
      <c r="L12" s="39">
        <v>27.9</v>
      </c>
      <c r="M12" s="25"/>
      <c r="O12" s="35"/>
      <c r="Q12" s="7"/>
    </row>
    <row r="13" spans="1:17" x14ac:dyDescent="0.35">
      <c r="A13" s="29">
        <v>46065</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74</v>
      </c>
      <c r="K13" s="39">
        <v>35.340000000000003</v>
      </c>
      <c r="L13" s="39">
        <v>27.9</v>
      </c>
      <c r="M13" s="1" t="s">
        <v>26</v>
      </c>
      <c r="N13">
        <f>COUNTIF(C2:C32, "Urlaub")+COUNTIF(C2:C32,"Urlaub halber Tag")/2</f>
        <v>0</v>
      </c>
      <c r="O13" s="35"/>
      <c r="Q13" s="7"/>
    </row>
    <row r="14" spans="1:17" x14ac:dyDescent="0.35">
      <c r="A14" s="29">
        <v>46066</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74</v>
      </c>
      <c r="K14" s="39">
        <v>35.340000000000003</v>
      </c>
      <c r="L14" s="39">
        <v>27.9</v>
      </c>
      <c r="M14" s="25"/>
      <c r="O14" s="35"/>
      <c r="Q14" s="7"/>
    </row>
    <row r="15" spans="1:17" x14ac:dyDescent="0.35">
      <c r="A15" s="29">
        <v>46067</v>
      </c>
      <c r="B15" t="str">
        <f t="shared" si="0"/>
        <v>Sa</v>
      </c>
      <c r="G15" s="27">
        <f t="shared" si="1"/>
        <v>0</v>
      </c>
      <c r="H15" s="27">
        <f ca="1">IF(Q15&lt;&gt;"",Q15,IF(OR(C15="Feiertag",A15&lt;Gesamt!$B$11,A15&gt;Gesamt!$B$13,),0,INDIRECT("N"&amp;WEEKDAY(A15,2)+19)))</f>
        <v>0</v>
      </c>
      <c r="I15" s="27">
        <f t="shared" si="2"/>
        <v>0</v>
      </c>
      <c r="J15" s="7" t="s">
        <v>74</v>
      </c>
      <c r="K15" s="39">
        <v>35.340000000000003</v>
      </c>
      <c r="L15" s="39">
        <v>27.9</v>
      </c>
      <c r="M15" s="1" t="s">
        <v>58</v>
      </c>
      <c r="N15">
        <f>Gesamt!B5+Gesamt!B7-SUM(Gesamt!G2:G3)</f>
        <v>24</v>
      </c>
      <c r="O15" s="35"/>
      <c r="Q15" s="7"/>
    </row>
    <row r="16" spans="1:17" x14ac:dyDescent="0.35">
      <c r="A16" s="29">
        <v>46068</v>
      </c>
      <c r="B16" t="str">
        <f t="shared" si="0"/>
        <v>So</v>
      </c>
      <c r="G16" s="27">
        <f t="shared" si="1"/>
        <v>0</v>
      </c>
      <c r="H16" s="27">
        <f ca="1">IF(Q16&lt;&gt;"",Q16,IF(OR(C16="Feiertag",A16&lt;Gesamt!$B$11,A16&gt;Gesamt!$B$13,),0,INDIRECT("N"&amp;WEEKDAY(A16,2)+19)))</f>
        <v>0</v>
      </c>
      <c r="I16" s="27">
        <f t="shared" si="2"/>
        <v>0</v>
      </c>
      <c r="J16" s="7" t="s">
        <v>74</v>
      </c>
      <c r="K16" s="39">
        <v>35.340000000000003</v>
      </c>
      <c r="L16" s="39">
        <v>27.9</v>
      </c>
      <c r="O16" s="35"/>
      <c r="Q16" s="7"/>
    </row>
    <row r="17" spans="1:17" x14ac:dyDescent="0.35">
      <c r="A17" s="29">
        <v>46069</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74</v>
      </c>
      <c r="K17" s="39">
        <v>35.340000000000003</v>
      </c>
      <c r="L17" s="39">
        <v>27.9</v>
      </c>
      <c r="M17" s="1" t="s">
        <v>50</v>
      </c>
      <c r="N17" s="27">
        <f>SUM(G2:G32)</f>
        <v>153.99999999999997</v>
      </c>
      <c r="O17" s="35"/>
      <c r="Q17" s="7"/>
    </row>
    <row r="18" spans="1:17" x14ac:dyDescent="0.35">
      <c r="A18" s="29">
        <v>46070</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74</v>
      </c>
      <c r="K18" s="39">
        <v>35.340000000000003</v>
      </c>
      <c r="L18" s="39">
        <v>27.9</v>
      </c>
      <c r="O18" s="35"/>
      <c r="Q18" s="7"/>
    </row>
    <row r="19" spans="1:17" x14ac:dyDescent="0.35">
      <c r="A19" s="29">
        <v>46071</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75</v>
      </c>
      <c r="K19" s="39">
        <v>35.340000000000003</v>
      </c>
      <c r="L19" s="39">
        <v>27.9</v>
      </c>
      <c r="M19" s="13" t="s">
        <v>6</v>
      </c>
      <c r="O19" s="35"/>
      <c r="Q19" s="7"/>
    </row>
    <row r="20" spans="1:17" x14ac:dyDescent="0.35">
      <c r="A20" s="29">
        <v>46072</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75</v>
      </c>
      <c r="K20" s="39">
        <v>35.340000000000003</v>
      </c>
      <c r="L20" s="39">
        <v>27.9</v>
      </c>
      <c r="M20" s="6" t="s">
        <v>43</v>
      </c>
      <c r="N20" s="7">
        <f>Gesamt!C30</f>
        <v>8</v>
      </c>
      <c r="O20" s="35"/>
      <c r="Q20" s="7"/>
    </row>
    <row r="21" spans="1:17" x14ac:dyDescent="0.35">
      <c r="A21" s="29">
        <v>46073</v>
      </c>
      <c r="B21" t="str">
        <f t="shared" si="0"/>
        <v>Fr</v>
      </c>
      <c r="D21" s="24">
        <v>0.29166666666666669</v>
      </c>
      <c r="E21" s="24">
        <v>0.5625</v>
      </c>
      <c r="G21" s="27">
        <f t="shared" si="1"/>
        <v>6.5</v>
      </c>
      <c r="H21" s="27">
        <f ca="1">IF(Q21&lt;&gt;"",Q21,IF(OR(C21="Feiertag",A21&lt;Gesamt!$B$11,A21&gt;Gesamt!$B$13,),0,INDIRECT("N"&amp;WEEKDAY(A21,2)+19)))</f>
        <v>6.5</v>
      </c>
      <c r="I21" s="27">
        <f t="shared" ca="1" si="2"/>
        <v>0</v>
      </c>
      <c r="J21" s="7" t="s">
        <v>75</v>
      </c>
      <c r="K21" s="39">
        <v>35.340000000000003</v>
      </c>
      <c r="L21" s="39">
        <v>27.9</v>
      </c>
      <c r="M21" s="6" t="s">
        <v>44</v>
      </c>
      <c r="N21" s="7">
        <f>Gesamt!C31</f>
        <v>8</v>
      </c>
      <c r="O21" s="35"/>
      <c r="Q21" s="7"/>
    </row>
    <row r="22" spans="1:17" x14ac:dyDescent="0.35">
      <c r="A22" s="29">
        <v>46074</v>
      </c>
      <c r="B22" t="str">
        <f t="shared" si="0"/>
        <v>Sa</v>
      </c>
      <c r="G22" s="27">
        <f t="shared" si="1"/>
        <v>0</v>
      </c>
      <c r="H22" s="27">
        <f ca="1">IF(Q22&lt;&gt;"",Q22,IF(OR(C22="Feiertag",A22&lt;Gesamt!$B$11,A22&gt;Gesamt!$B$13,),0,INDIRECT("N"&amp;WEEKDAY(A22,2)+19)))</f>
        <v>0</v>
      </c>
      <c r="I22" s="27">
        <f t="shared" si="2"/>
        <v>0</v>
      </c>
      <c r="J22" s="7" t="s">
        <v>75</v>
      </c>
      <c r="K22" s="39">
        <v>35.340000000000003</v>
      </c>
      <c r="L22" s="39">
        <v>27.9</v>
      </c>
      <c r="M22" s="6" t="s">
        <v>45</v>
      </c>
      <c r="N22" s="7">
        <f>Gesamt!C32</f>
        <v>8</v>
      </c>
      <c r="O22" s="35"/>
      <c r="Q22" s="7"/>
    </row>
    <row r="23" spans="1:17" x14ac:dyDescent="0.35">
      <c r="A23" s="29">
        <v>46075</v>
      </c>
      <c r="B23" t="str">
        <f t="shared" si="0"/>
        <v>So</v>
      </c>
      <c r="G23" s="27">
        <f t="shared" si="1"/>
        <v>0</v>
      </c>
      <c r="H23" s="27">
        <f ca="1">IF(Q23&lt;&gt;"",Q23,IF(OR(C23="Feiertag",A23&lt;Gesamt!$B$11,A23&gt;Gesamt!$B$13,),0,INDIRECT("N"&amp;WEEKDAY(A23,2)+19)))</f>
        <v>0</v>
      </c>
      <c r="I23" s="27">
        <f t="shared" si="2"/>
        <v>0</v>
      </c>
      <c r="J23" s="7" t="s">
        <v>75</v>
      </c>
      <c r="K23" s="39">
        <v>35.340000000000003</v>
      </c>
      <c r="L23" s="39">
        <v>27.9</v>
      </c>
      <c r="M23" s="6" t="s">
        <v>46</v>
      </c>
      <c r="N23" s="7">
        <f>Gesamt!C33</f>
        <v>8</v>
      </c>
      <c r="O23" s="35"/>
      <c r="Q23" s="7"/>
    </row>
    <row r="24" spans="1:17" x14ac:dyDescent="0.35">
      <c r="A24" s="29">
        <v>46076</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75</v>
      </c>
      <c r="K24" s="39">
        <v>35.340000000000003</v>
      </c>
      <c r="L24" s="39">
        <v>27.9</v>
      </c>
      <c r="M24" s="6" t="s">
        <v>47</v>
      </c>
      <c r="N24" s="7">
        <f>Gesamt!C34</f>
        <v>6.5</v>
      </c>
      <c r="O24" s="35"/>
      <c r="Q24" s="7"/>
    </row>
    <row r="25" spans="1:17" x14ac:dyDescent="0.35">
      <c r="A25" s="29">
        <v>46077</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75</v>
      </c>
      <c r="K25" s="39">
        <v>35.340000000000003</v>
      </c>
      <c r="L25" s="39">
        <v>27.9</v>
      </c>
      <c r="M25" s="6" t="s">
        <v>48</v>
      </c>
      <c r="N25" s="7">
        <f>Gesamt!C35</f>
        <v>0</v>
      </c>
      <c r="O25" s="35"/>
      <c r="Q25" s="7"/>
    </row>
    <row r="26" spans="1:17" x14ac:dyDescent="0.35">
      <c r="A26" s="29">
        <v>46078</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75</v>
      </c>
      <c r="K26" s="39">
        <v>35.340000000000003</v>
      </c>
      <c r="L26" s="39">
        <v>27.9</v>
      </c>
      <c r="M26" s="6" t="s">
        <v>49</v>
      </c>
      <c r="N26" s="7">
        <f>Gesamt!C36</f>
        <v>0</v>
      </c>
      <c r="O26" s="35"/>
      <c r="Q26" s="7"/>
    </row>
    <row r="27" spans="1:17" x14ac:dyDescent="0.35">
      <c r="A27" s="29">
        <v>46079</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75</v>
      </c>
      <c r="K27" s="39">
        <v>35.340000000000003</v>
      </c>
      <c r="L27" s="39">
        <v>27.9</v>
      </c>
      <c r="M27" s="13" t="s">
        <v>54</v>
      </c>
      <c r="N27" s="27">
        <f>SUM(N20:N26)</f>
        <v>38.5</v>
      </c>
      <c r="O27" s="35"/>
      <c r="Q27" s="7"/>
    </row>
    <row r="28" spans="1:17" x14ac:dyDescent="0.35">
      <c r="A28" s="29">
        <v>46080</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75</v>
      </c>
      <c r="K28" s="39">
        <v>35.340000000000003</v>
      </c>
      <c r="L28" s="39">
        <v>27.9</v>
      </c>
      <c r="O28" s="35"/>
      <c r="Q28" s="7"/>
    </row>
    <row r="29" spans="1:17" x14ac:dyDescent="0.35">
      <c r="A29" s="29">
        <v>46081</v>
      </c>
      <c r="B29" t="str">
        <f t="shared" si="0"/>
        <v>Sa</v>
      </c>
      <c r="G29" s="27">
        <f t="shared" si="1"/>
        <v>0</v>
      </c>
      <c r="H29" s="27">
        <f ca="1">IF(Q29&lt;&gt;"",Q29,IF(OR(C29="Feiertag",A29&lt;Gesamt!$B$11,A29&gt;Gesamt!$B$13,),0,INDIRECT("N"&amp;WEEKDAY(A29,2)+19)))</f>
        <v>0</v>
      </c>
      <c r="I29" s="27">
        <f t="shared" si="2"/>
        <v>0</v>
      </c>
      <c r="J29" s="7" t="s">
        <v>75</v>
      </c>
      <c r="K29" s="39"/>
      <c r="L29" s="39"/>
      <c r="O29" s="35"/>
      <c r="Q29" s="7"/>
    </row>
    <row r="30" spans="1:17" x14ac:dyDescent="0.35">
      <c r="A30" s="29"/>
      <c r="B30"/>
      <c r="G30" s="27"/>
      <c r="H30" s="27"/>
      <c r="I30" s="27"/>
      <c r="J30" s="7"/>
      <c r="K30" s="39"/>
      <c r="L30" s="39"/>
      <c r="M30" s="42" t="s">
        <v>76</v>
      </c>
      <c r="O30" s="35"/>
      <c r="Q30" s="7"/>
    </row>
    <row r="31" spans="1:17" x14ac:dyDescent="0.35">
      <c r="A31" s="23"/>
      <c r="H31" s="7"/>
      <c r="I31" s="7"/>
      <c r="J31" s="2" t="s">
        <v>68</v>
      </c>
      <c r="K31" s="39">
        <f>SUM(K2:K30)</f>
        <v>954.18000000000063</v>
      </c>
      <c r="L31" s="39">
        <f>SUM(L2:L30)</f>
        <v>753.29999999999961</v>
      </c>
    </row>
    <row r="32" spans="1:17" x14ac:dyDescent="0.35">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3:F7">
    <cfRule type="expression" dxfId="49" priority="7">
      <formula>$C3="Feiertag"</formula>
    </cfRule>
    <cfRule type="expression" dxfId="48" priority="8">
      <formula>WEEKDAY($A3,2)&gt;=6</formula>
    </cfRule>
  </conditionalFormatting>
  <conditionalFormatting sqref="A17:F21">
    <cfRule type="expression" dxfId="47" priority="3">
      <formula>$C17="Feiertag"</formula>
    </cfRule>
    <cfRule type="expression" dxfId="46" priority="4">
      <formula>WEEKDAY($A17,2)&gt;=6</formula>
    </cfRule>
  </conditionalFormatting>
  <conditionalFormatting sqref="A8:I16">
    <cfRule type="expression" dxfId="45" priority="5">
      <formula>$C8="Feiertag"</formula>
    </cfRule>
    <cfRule type="expression" dxfId="44" priority="6">
      <formula>WEEKDAY($A8,2)&gt;=6</formula>
    </cfRule>
  </conditionalFormatting>
  <conditionalFormatting sqref="A22:I29">
    <cfRule type="expression" dxfId="43" priority="1">
      <formula>$C22="Feiertag"</formula>
    </cfRule>
    <cfRule type="expression" dxfId="42" priority="2">
      <formula>WEEKDAY($A22,2)&gt;=6</formula>
    </cfRule>
  </conditionalFormatting>
  <conditionalFormatting sqref="A2:J2 G3:J3 G4:I7 J4:J18 G17:I18 G19:J19 G20:I21 J20:J29">
    <cfRule type="expression" dxfId="41" priority="9">
      <formula>$C2="Feiertag"</formula>
    </cfRule>
    <cfRule type="expression" dxfId="40" priority="10">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topLeftCell="A16" zoomScaleNormal="100" workbookViewId="0">
      <selection activeCell="J32" sqref="J32"/>
    </sheetView>
  </sheetViews>
  <sheetFormatPr baseColWidth="10" defaultColWidth="11.453125" defaultRowHeight="14.5" x14ac:dyDescent="0.3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35">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46083</v>
      </c>
      <c r="B3" t="str">
        <f t="shared" ref="B3:B32" si="0">TEXT(A3,"TTT")</f>
        <v>Mo</v>
      </c>
      <c r="D3" s="24">
        <v>0.29166666666666669</v>
      </c>
      <c r="E3" s="24">
        <v>0.66666666666666663</v>
      </c>
      <c r="F3" s="24">
        <v>4.1666666666666664E-2</v>
      </c>
      <c r="G3" s="27">
        <f t="shared" ref="G3:G32"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2" ca="1" si="2">IF(OR(C3="Überstundenabbau",C3="Urlaub halber Tag",E3&lt;&gt;""),G3-H3,0)</f>
        <v>-1.7763568394002505E-15</v>
      </c>
      <c r="J3" s="7" t="s">
        <v>80</v>
      </c>
      <c r="K3" s="39">
        <v>35.340000000000003</v>
      </c>
      <c r="L3" s="39">
        <v>27.9</v>
      </c>
      <c r="M3" s="47" t="str">
        <f>Gesamt!A3</f>
        <v>Mirko GASPARIN</v>
      </c>
      <c r="N3" s="47"/>
      <c r="O3" s="35"/>
      <c r="Q3" s="7"/>
    </row>
    <row r="4" spans="1:17" x14ac:dyDescent="0.35">
      <c r="A4" s="29">
        <v>46084</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80</v>
      </c>
      <c r="K4" s="39">
        <v>35.340000000000003</v>
      </c>
      <c r="L4" s="39">
        <v>27.9</v>
      </c>
      <c r="O4" s="35"/>
      <c r="Q4" s="7"/>
    </row>
    <row r="5" spans="1:17" x14ac:dyDescent="0.35">
      <c r="A5" s="29">
        <v>46085</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80</v>
      </c>
      <c r="K5" s="39">
        <v>35.340000000000003</v>
      </c>
      <c r="L5" s="39">
        <v>27.9</v>
      </c>
      <c r="M5" s="1" t="s">
        <v>8</v>
      </c>
      <c r="N5" s="27">
        <f ca="1">SUM(I2:I32)</f>
        <v>-3.1974423109204508E-14</v>
      </c>
      <c r="O5" s="35"/>
      <c r="Q5" s="7"/>
    </row>
    <row r="6" spans="1:17" x14ac:dyDescent="0.35">
      <c r="A6" s="29">
        <v>46086</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80</v>
      </c>
      <c r="K6" s="39">
        <v>35.340000000000003</v>
      </c>
      <c r="L6" s="39">
        <v>27.9</v>
      </c>
      <c r="M6" s="25"/>
      <c r="O6" s="35"/>
      <c r="Q6" s="7"/>
    </row>
    <row r="7" spans="1:17" x14ac:dyDescent="0.35">
      <c r="A7" s="29">
        <v>46087</v>
      </c>
      <c r="B7" t="str">
        <f t="shared" si="0"/>
        <v>Fr</v>
      </c>
      <c r="D7" s="24">
        <v>0.29166666666666669</v>
      </c>
      <c r="E7" s="24">
        <v>0.5625</v>
      </c>
      <c r="G7" s="27">
        <f t="shared" si="1"/>
        <v>6.5</v>
      </c>
      <c r="H7" s="27">
        <f ca="1">IF(Q7&lt;&gt;"",Q7,IF(OR(C7="Feiertag",A7&lt;Gesamt!$B$11,A7&gt;Gesamt!$B$13,),0,INDIRECT("N"&amp;WEEKDAY(A7,2)+19)))</f>
        <v>6.5</v>
      </c>
      <c r="I7" s="27">
        <f t="shared" ca="1" si="2"/>
        <v>0</v>
      </c>
      <c r="J7" s="7" t="s">
        <v>80</v>
      </c>
      <c r="K7" s="39">
        <v>35.340000000000003</v>
      </c>
      <c r="L7" s="39">
        <v>27.9</v>
      </c>
      <c r="M7" s="1" t="s">
        <v>59</v>
      </c>
      <c r="N7" s="27">
        <f ca="1">Gesamt!B9+SUM(Gesamt!E2:E4)-SUM(Gesamt!J2:J4)</f>
        <v>-7.9936057773011271E-14</v>
      </c>
      <c r="O7" s="35"/>
      <c r="Q7" s="7"/>
    </row>
    <row r="8" spans="1:17" x14ac:dyDescent="0.35">
      <c r="A8" s="29">
        <v>46088</v>
      </c>
      <c r="B8" t="str">
        <f t="shared" si="0"/>
        <v>Sa</v>
      </c>
      <c r="G8" s="27">
        <f t="shared" si="1"/>
        <v>0</v>
      </c>
      <c r="H8" s="27">
        <f ca="1">IF(Q8&lt;&gt;"",Q8,IF(OR(C8="Feiertag",A8&lt;Gesamt!$B$11,A8&gt;Gesamt!$B$13,),0,INDIRECT("N"&amp;WEEKDAY(A8,2)+19)))</f>
        <v>0</v>
      </c>
      <c r="I8" s="27">
        <f t="shared" si="2"/>
        <v>0</v>
      </c>
      <c r="J8" s="7" t="s">
        <v>74</v>
      </c>
      <c r="K8" s="39">
        <v>35.340000000000003</v>
      </c>
      <c r="L8" s="39">
        <v>27.9</v>
      </c>
      <c r="M8" s="25"/>
      <c r="O8" s="35"/>
      <c r="Q8" s="7"/>
    </row>
    <row r="9" spans="1:17" x14ac:dyDescent="0.35">
      <c r="A9" s="29">
        <v>46089</v>
      </c>
      <c r="B9" t="str">
        <f t="shared" si="0"/>
        <v>So</v>
      </c>
      <c r="G9" s="27">
        <f t="shared" si="1"/>
        <v>0</v>
      </c>
      <c r="H9" s="27">
        <f ca="1">IF(Q9&lt;&gt;"",Q9,IF(OR(C9="Feiertag",A9&lt;Gesamt!$B$11,A9&gt;Gesamt!$B$13,),0,INDIRECT("N"&amp;WEEKDAY(A9,2)+19)))</f>
        <v>0</v>
      </c>
      <c r="I9" s="27">
        <f t="shared" si="2"/>
        <v>0</v>
      </c>
      <c r="J9" s="7" t="s">
        <v>74</v>
      </c>
      <c r="K9" s="39">
        <v>35.340000000000003</v>
      </c>
      <c r="L9" s="39">
        <v>27.9</v>
      </c>
      <c r="M9" s="1" t="s">
        <v>25</v>
      </c>
      <c r="N9">
        <f>COUNTIF(C2:C32,"krank")</f>
        <v>0</v>
      </c>
      <c r="O9" s="35"/>
      <c r="Q9" s="7"/>
    </row>
    <row r="10" spans="1:17" x14ac:dyDescent="0.35">
      <c r="A10" s="29">
        <v>46090</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74</v>
      </c>
      <c r="K10" s="39">
        <v>35.340000000000003</v>
      </c>
      <c r="L10" s="39">
        <v>27.9</v>
      </c>
      <c r="M10" s="25"/>
      <c r="O10" s="35"/>
      <c r="Q10" s="7"/>
    </row>
    <row r="11" spans="1:17" x14ac:dyDescent="0.35">
      <c r="A11" s="29">
        <v>46091</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74</v>
      </c>
      <c r="K11" s="39">
        <v>35.340000000000003</v>
      </c>
      <c r="L11" s="39">
        <v>27.9</v>
      </c>
      <c r="M11" s="1" t="s">
        <v>57</v>
      </c>
      <c r="N11" s="28">
        <f>SUM(Gesamt!F2:F4)</f>
        <v>0</v>
      </c>
      <c r="O11" s="35"/>
      <c r="Q11" s="7"/>
    </row>
    <row r="12" spans="1:17" x14ac:dyDescent="0.35">
      <c r="A12" s="29">
        <v>46092</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74</v>
      </c>
      <c r="K12" s="39">
        <v>35.340000000000003</v>
      </c>
      <c r="L12" s="39">
        <v>27.9</v>
      </c>
      <c r="M12" s="25"/>
      <c r="O12" s="35"/>
      <c r="Q12" s="7"/>
    </row>
    <row r="13" spans="1:17" x14ac:dyDescent="0.35">
      <c r="A13" s="29">
        <v>46093</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74</v>
      </c>
      <c r="K13" s="39">
        <v>35.340000000000003</v>
      </c>
      <c r="L13" s="39">
        <v>27.9</v>
      </c>
      <c r="M13" s="1" t="s">
        <v>26</v>
      </c>
      <c r="N13">
        <f>COUNTIF(C2:C32, "Urlaub")+COUNTIF(C2:C32,"Urlaub halber Tag")/2</f>
        <v>0</v>
      </c>
      <c r="O13" s="35"/>
      <c r="Q13" s="7"/>
    </row>
    <row r="14" spans="1:17" x14ac:dyDescent="0.35">
      <c r="A14" s="29">
        <v>46094</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74</v>
      </c>
      <c r="K14" s="39">
        <v>35.340000000000003</v>
      </c>
      <c r="L14" s="39">
        <v>27.9</v>
      </c>
      <c r="M14" s="25"/>
      <c r="O14" s="35"/>
      <c r="Q14" s="7"/>
    </row>
    <row r="15" spans="1:17" x14ac:dyDescent="0.35">
      <c r="A15" s="29">
        <v>46095</v>
      </c>
      <c r="B15" t="str">
        <f t="shared" si="0"/>
        <v>Sa</v>
      </c>
      <c r="G15" s="27">
        <f t="shared" si="1"/>
        <v>0</v>
      </c>
      <c r="H15" s="27">
        <f ca="1">IF(Q15&lt;&gt;"",Q15,IF(OR(C15="Feiertag",A15&lt;Gesamt!$B$11,A15&gt;Gesamt!$B$13,),0,INDIRECT("N"&amp;WEEKDAY(A15,2)+19)))</f>
        <v>0</v>
      </c>
      <c r="I15" s="27">
        <f t="shared" si="2"/>
        <v>0</v>
      </c>
      <c r="J15" s="7" t="s">
        <v>74</v>
      </c>
      <c r="K15" s="39">
        <v>35.340000000000003</v>
      </c>
      <c r="L15" s="39">
        <v>27.9</v>
      </c>
      <c r="M15" s="1" t="s">
        <v>58</v>
      </c>
      <c r="N15">
        <f>Gesamt!B5+Gesamt!B7-SUM(Gesamt!G2:G4)</f>
        <v>24</v>
      </c>
      <c r="O15" s="35"/>
      <c r="Q15" s="7"/>
    </row>
    <row r="16" spans="1:17" x14ac:dyDescent="0.35">
      <c r="A16" s="29">
        <v>46096</v>
      </c>
      <c r="B16" t="str">
        <f t="shared" si="0"/>
        <v>So</v>
      </c>
      <c r="G16" s="27">
        <f t="shared" si="1"/>
        <v>0</v>
      </c>
      <c r="H16" s="27">
        <f ca="1">IF(Q16&lt;&gt;"",Q16,IF(OR(C16="Feiertag",A16&lt;Gesamt!$B$11,A16&gt;Gesamt!$B$13,),0,INDIRECT("N"&amp;WEEKDAY(A16,2)+19)))</f>
        <v>0</v>
      </c>
      <c r="I16" s="27">
        <f t="shared" si="2"/>
        <v>0</v>
      </c>
      <c r="J16" s="7" t="s">
        <v>74</v>
      </c>
      <c r="K16" s="39">
        <v>35.340000000000003</v>
      </c>
      <c r="L16" s="39">
        <v>27.9</v>
      </c>
      <c r="O16" s="35"/>
      <c r="Q16" s="7"/>
    </row>
    <row r="17" spans="1:17" x14ac:dyDescent="0.35">
      <c r="A17" s="29">
        <v>46097</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79</v>
      </c>
      <c r="K17" s="39">
        <v>35.340000000000003</v>
      </c>
      <c r="L17" s="39">
        <v>27.9</v>
      </c>
      <c r="M17" s="1" t="s">
        <v>50</v>
      </c>
      <c r="N17" s="27">
        <f>SUM(G2:G32)</f>
        <v>169.99999999999997</v>
      </c>
      <c r="O17" s="35"/>
      <c r="Q17" s="7"/>
    </row>
    <row r="18" spans="1:17" x14ac:dyDescent="0.35">
      <c r="A18" s="29">
        <v>46098</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79</v>
      </c>
      <c r="K18" s="39">
        <v>35.340000000000003</v>
      </c>
      <c r="L18" s="39">
        <v>27.9</v>
      </c>
      <c r="O18" s="35"/>
      <c r="Q18" s="7"/>
    </row>
    <row r="19" spans="1:17" x14ac:dyDescent="0.35">
      <c r="A19" s="29">
        <v>46099</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79</v>
      </c>
      <c r="K19" s="39">
        <v>35.340000000000003</v>
      </c>
      <c r="L19" s="39">
        <v>27.9</v>
      </c>
      <c r="M19" s="13" t="s">
        <v>6</v>
      </c>
      <c r="O19" s="35"/>
      <c r="Q19" s="7"/>
    </row>
    <row r="20" spans="1:17" x14ac:dyDescent="0.35">
      <c r="A20" s="29">
        <v>46100</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79</v>
      </c>
      <c r="K20" s="39">
        <v>35.340000000000003</v>
      </c>
      <c r="L20" s="39">
        <v>27.9</v>
      </c>
      <c r="M20" s="6" t="s">
        <v>43</v>
      </c>
      <c r="N20" s="7">
        <f>Gesamt!C30</f>
        <v>8</v>
      </c>
      <c r="O20" s="35"/>
      <c r="Q20" s="7"/>
    </row>
    <row r="21" spans="1:17" x14ac:dyDescent="0.35">
      <c r="A21" s="29">
        <v>46101</v>
      </c>
      <c r="B21" t="str">
        <f t="shared" si="0"/>
        <v>Fr</v>
      </c>
      <c r="D21" s="24">
        <v>0.29166666666666669</v>
      </c>
      <c r="E21" s="24">
        <v>0.5625</v>
      </c>
      <c r="G21" s="27">
        <f t="shared" si="1"/>
        <v>6.5</v>
      </c>
      <c r="H21" s="27">
        <f ca="1">IF(Q21&lt;&gt;"",Q21,IF(OR(C21="Feiertag",A21&lt;Gesamt!$B$11,A21&gt;Gesamt!$B$13,),0,INDIRECT("N"&amp;WEEKDAY(A21,2)+19)))</f>
        <v>6.5</v>
      </c>
      <c r="I21" s="27">
        <f t="shared" ca="1" si="2"/>
        <v>0</v>
      </c>
      <c r="J21" s="7" t="s">
        <v>79</v>
      </c>
      <c r="K21" s="39">
        <v>35.340000000000003</v>
      </c>
      <c r="L21" s="39">
        <v>27.9</v>
      </c>
      <c r="M21" s="6" t="s">
        <v>44</v>
      </c>
      <c r="N21" s="7">
        <f>Gesamt!C31</f>
        <v>8</v>
      </c>
      <c r="O21" s="35"/>
      <c r="Q21" s="7"/>
    </row>
    <row r="22" spans="1:17" x14ac:dyDescent="0.35">
      <c r="A22" s="29">
        <v>46102</v>
      </c>
      <c r="B22" t="str">
        <f t="shared" si="0"/>
        <v>Sa</v>
      </c>
      <c r="G22" s="27">
        <f t="shared" si="1"/>
        <v>0</v>
      </c>
      <c r="H22" s="27">
        <f ca="1">IF(Q22&lt;&gt;"",Q22,IF(OR(C22="Feiertag",A22&lt;Gesamt!$B$11,A22&gt;Gesamt!$B$13,),0,INDIRECT("N"&amp;WEEKDAY(A22,2)+19)))</f>
        <v>0</v>
      </c>
      <c r="I22" s="27">
        <f t="shared" si="2"/>
        <v>0</v>
      </c>
      <c r="J22" s="7" t="s">
        <v>79</v>
      </c>
      <c r="K22" s="39">
        <v>35.340000000000003</v>
      </c>
      <c r="L22" s="39">
        <v>27.9</v>
      </c>
      <c r="M22" s="6" t="s">
        <v>45</v>
      </c>
      <c r="N22" s="7">
        <f>Gesamt!C32</f>
        <v>8</v>
      </c>
      <c r="O22" s="35"/>
      <c r="Q22" s="7"/>
    </row>
    <row r="23" spans="1:17" x14ac:dyDescent="0.35">
      <c r="A23" s="29">
        <v>46103</v>
      </c>
      <c r="B23" t="str">
        <f t="shared" si="0"/>
        <v>So</v>
      </c>
      <c r="G23" s="27">
        <f t="shared" si="1"/>
        <v>0</v>
      </c>
      <c r="H23" s="27">
        <f ca="1">IF(Q23&lt;&gt;"",Q23,IF(OR(C23="Feiertag",A23&lt;Gesamt!$B$11,A23&gt;Gesamt!$B$13,),0,INDIRECT("N"&amp;WEEKDAY(A23,2)+19)))</f>
        <v>0</v>
      </c>
      <c r="I23" s="27">
        <f t="shared" si="2"/>
        <v>0</v>
      </c>
      <c r="J23" s="7" t="s">
        <v>79</v>
      </c>
      <c r="K23" s="39">
        <v>35.340000000000003</v>
      </c>
      <c r="L23" s="39">
        <v>27.9</v>
      </c>
      <c r="M23" s="6" t="s">
        <v>46</v>
      </c>
      <c r="N23" s="7">
        <f>Gesamt!C33</f>
        <v>8</v>
      </c>
      <c r="O23" s="35"/>
      <c r="Q23" s="7"/>
    </row>
    <row r="24" spans="1:17" x14ac:dyDescent="0.35">
      <c r="A24" s="29">
        <v>46104</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74</v>
      </c>
      <c r="K24" s="39">
        <v>35.340000000000003</v>
      </c>
      <c r="L24" s="39">
        <v>27.9</v>
      </c>
      <c r="M24" s="6" t="s">
        <v>47</v>
      </c>
      <c r="N24" s="7">
        <f>Gesamt!C34</f>
        <v>6.5</v>
      </c>
      <c r="O24" s="35"/>
      <c r="Q24" s="7"/>
    </row>
    <row r="25" spans="1:17" x14ac:dyDescent="0.35">
      <c r="A25" s="29">
        <v>46105</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74</v>
      </c>
      <c r="K25" s="39">
        <v>35.340000000000003</v>
      </c>
      <c r="L25" s="39">
        <v>27.9</v>
      </c>
      <c r="M25" s="6" t="s">
        <v>48</v>
      </c>
      <c r="N25" s="7">
        <f>Gesamt!C35</f>
        <v>0</v>
      </c>
      <c r="O25" s="35"/>
      <c r="Q25" s="7"/>
    </row>
    <row r="26" spans="1:17" x14ac:dyDescent="0.35">
      <c r="A26" s="29">
        <v>46106</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74</v>
      </c>
      <c r="K26" s="39">
        <v>35.340000000000003</v>
      </c>
      <c r="L26" s="39">
        <v>27.9</v>
      </c>
      <c r="M26" s="6" t="s">
        <v>49</v>
      </c>
      <c r="N26" s="7">
        <f>Gesamt!C36</f>
        <v>0</v>
      </c>
      <c r="O26" s="35"/>
      <c r="Q26" s="7"/>
    </row>
    <row r="27" spans="1:17" x14ac:dyDescent="0.35">
      <c r="A27" s="29">
        <v>46107</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74</v>
      </c>
      <c r="K27" s="39">
        <v>35.340000000000003</v>
      </c>
      <c r="L27" s="39">
        <v>27.9</v>
      </c>
      <c r="M27" s="13" t="s">
        <v>54</v>
      </c>
      <c r="N27" s="27">
        <f>SUM(N20:N26)</f>
        <v>38.5</v>
      </c>
      <c r="O27" s="35"/>
      <c r="Q27" s="7"/>
    </row>
    <row r="28" spans="1:17" x14ac:dyDescent="0.35">
      <c r="A28" s="29">
        <v>46108</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74</v>
      </c>
      <c r="K28" s="39">
        <v>35.340000000000003</v>
      </c>
      <c r="L28" s="39">
        <v>27.9</v>
      </c>
      <c r="O28" s="35"/>
      <c r="Q28" s="7"/>
    </row>
    <row r="29" spans="1:17" x14ac:dyDescent="0.35">
      <c r="A29" s="29">
        <v>46109</v>
      </c>
      <c r="B29" t="str">
        <f t="shared" si="0"/>
        <v>Sa</v>
      </c>
      <c r="G29" s="27">
        <f t="shared" si="1"/>
        <v>0</v>
      </c>
      <c r="H29" s="27">
        <f ca="1">IF(Q29&lt;&gt;"",Q29,IF(OR(C29="Feiertag",A29&lt;Gesamt!$B$11,A29&gt;Gesamt!$B$13,),0,INDIRECT("N"&amp;WEEKDAY(A29,2)+19)))</f>
        <v>0</v>
      </c>
      <c r="I29" s="27">
        <f t="shared" si="2"/>
        <v>0</v>
      </c>
      <c r="J29" s="7" t="s">
        <v>74</v>
      </c>
      <c r="K29" s="39">
        <v>35.340000000000003</v>
      </c>
      <c r="L29" s="39">
        <v>27.9</v>
      </c>
      <c r="O29" s="35"/>
      <c r="Q29" s="7"/>
    </row>
    <row r="30" spans="1:17" x14ac:dyDescent="0.35">
      <c r="A30" s="29">
        <v>46110</v>
      </c>
      <c r="B30" t="str">
        <f t="shared" si="0"/>
        <v>So</v>
      </c>
      <c r="G30" s="27">
        <f t="shared" si="1"/>
        <v>0</v>
      </c>
      <c r="H30" s="27">
        <f ca="1">IF(Q30&lt;&gt;"",Q30,IF(OR(C30="Feiertag",A30&lt;Gesamt!$B$11,A30&gt;Gesamt!$B$13,),0,INDIRECT("N"&amp;WEEKDAY(A30,2)+19)))</f>
        <v>0</v>
      </c>
      <c r="I30" s="27">
        <f t="shared" si="2"/>
        <v>0</v>
      </c>
      <c r="J30" s="7" t="s">
        <v>74</v>
      </c>
      <c r="K30" s="39">
        <v>35.340000000000003</v>
      </c>
      <c r="L30" s="39">
        <v>27.9</v>
      </c>
      <c r="M30" s="42" t="s">
        <v>77</v>
      </c>
      <c r="O30" s="35"/>
      <c r="Q30" s="7"/>
    </row>
    <row r="31" spans="1:17" x14ac:dyDescent="0.35">
      <c r="A31" s="29">
        <v>46111</v>
      </c>
      <c r="B31" t="str">
        <f t="shared" si="0"/>
        <v>Mo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74</v>
      </c>
      <c r="K31" s="39">
        <v>35.340000000000003</v>
      </c>
      <c r="L31" s="39">
        <v>27.9</v>
      </c>
      <c r="O31" s="35"/>
      <c r="Q31" s="7"/>
    </row>
    <row r="32" spans="1:17" x14ac:dyDescent="0.35">
      <c r="A32" s="29">
        <v>46112</v>
      </c>
      <c r="B32" t="str">
        <f t="shared" si="0"/>
        <v>Di</v>
      </c>
      <c r="D32" s="24">
        <v>0.29166666666666669</v>
      </c>
      <c r="E32" s="24">
        <v>0.66666666666666663</v>
      </c>
      <c r="F32" s="24">
        <v>4.1666666666666664E-2</v>
      </c>
      <c r="G32" s="27">
        <f t="shared" si="1"/>
        <v>7.9999999999999982</v>
      </c>
      <c r="H32" s="27">
        <f ca="1">IF(Q32&lt;&gt;"",Q32,IF(OR(C32="Feiertag",A32&lt;Gesamt!$B$11,A32&gt;Gesamt!$B$13,),0,INDIRECT("N"&amp;WEEKDAY(A32,2)+19)))</f>
        <v>8</v>
      </c>
      <c r="I32" s="27">
        <f t="shared" ca="1" si="2"/>
        <v>-1.7763568394002505E-15</v>
      </c>
      <c r="J32" s="7" t="s">
        <v>74</v>
      </c>
      <c r="K32" s="39">
        <v>35.340000000000003</v>
      </c>
      <c r="L32" s="39">
        <v>27.9</v>
      </c>
      <c r="M32" s="43" t="s">
        <v>78</v>
      </c>
      <c r="O32" s="35"/>
      <c r="Q32" s="7"/>
    </row>
    <row r="33" spans="10:12" x14ac:dyDescent="0.35">
      <c r="K33" s="39"/>
      <c r="L33" s="39"/>
    </row>
    <row r="34" spans="10:12" x14ac:dyDescent="0.35">
      <c r="J34" s="2" t="s">
        <v>68</v>
      </c>
      <c r="K34" s="39">
        <f>SUM(K2:K33)</f>
        <v>1060.2000000000005</v>
      </c>
      <c r="L34" s="39">
        <f>SUM(L2:L33)</f>
        <v>836.99999999999955</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2:J32">
    <cfRule type="expression" dxfId="39" priority="1">
      <formula>$C2="Feiertag"</formula>
    </cfRule>
    <cfRule type="expression" dxfId="38"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topLeftCell="A10" zoomScaleNormal="100" workbookViewId="0">
      <selection activeCell="J23" sqref="J23"/>
    </sheetView>
  </sheetViews>
  <sheetFormatPr baseColWidth="10" defaultColWidth="11.453125" defaultRowHeight="14.5" x14ac:dyDescent="0.35"/>
  <cols>
    <col min="1" max="1" width="7.179687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35">
      <c r="A2" s="29">
        <v>46113</v>
      </c>
      <c r="B2" t="str">
        <f>TEXT(A2,"TTT")</f>
        <v>Mi</v>
      </c>
      <c r="D2" s="24">
        <v>0.29166666666666669</v>
      </c>
      <c r="E2" s="24">
        <v>0.66666666666666663</v>
      </c>
      <c r="F2" s="24">
        <v>4.1666666666666664E-2</v>
      </c>
      <c r="G2" s="27">
        <f>IF(OR(C2="krank",C2="Urlaub",C2="Sonderurlaub"), H2,IF(D2&lt;=E2,(E2-D2-F2)*24,(1-D2+E2-F2)*24)+IF(C2= "Urlaub halber Tag",H2/2,0)+IF(AND(C2="Urlaub halber Tag", J2="halber Arbeitstag"),H2/2,0))</f>
        <v>7.9999999999999982</v>
      </c>
      <c r="H2" s="27">
        <f ca="1">IF(Q2&lt;&gt;"",Q2,IF(OR(C2="Feiertag",A2&lt;Gesamt!$B$11,A2&gt;Gesamt!$B$13,),0,INDIRECT("N"&amp;WEEKDAY(A2,2)+19)))</f>
        <v>8</v>
      </c>
      <c r="I2" s="27">
        <f ca="1">IF(OR(C2="Überstundenabbau",C2="Urlaub halber Tag",E2&lt;&gt;""),G2-H2,0)</f>
        <v>-1.7763568394002505E-15</v>
      </c>
      <c r="J2" s="7" t="s">
        <v>74</v>
      </c>
      <c r="K2" s="39">
        <v>35.299999999999997</v>
      </c>
      <c r="L2" s="39">
        <v>27.9</v>
      </c>
      <c r="M2" s="25"/>
      <c r="O2" s="35"/>
      <c r="Q2" s="7"/>
    </row>
    <row r="3" spans="1:17" x14ac:dyDescent="0.35">
      <c r="A3" s="29">
        <v>46114</v>
      </c>
      <c r="B3" t="str">
        <f t="shared" ref="B3:B31" si="0">TEXT(A3,"TTT")</f>
        <v>Do</v>
      </c>
      <c r="D3" s="24">
        <v>0.29166666666666669</v>
      </c>
      <c r="E3" s="24">
        <v>0.66666666666666663</v>
      </c>
      <c r="F3" s="24">
        <v>4.1666666666666664E-2</v>
      </c>
      <c r="G3" s="27">
        <f t="shared" ref="G3:G31"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1" ca="1" si="2">IF(OR(C3="Überstundenabbau",C3="Urlaub halber Tag",E3&lt;&gt;""),G3-H3,0)</f>
        <v>-1.7763568394002505E-15</v>
      </c>
      <c r="J3" s="7" t="s">
        <v>74</v>
      </c>
      <c r="K3" s="39">
        <v>35.299999999999997</v>
      </c>
      <c r="L3" s="39">
        <v>27.9</v>
      </c>
      <c r="M3" s="47" t="str">
        <f>Gesamt!A3</f>
        <v>Mirko GASPARIN</v>
      </c>
      <c r="N3" s="47"/>
      <c r="O3" s="35"/>
      <c r="Q3" s="7"/>
    </row>
    <row r="4" spans="1:17" x14ac:dyDescent="0.35">
      <c r="A4" s="29">
        <v>46115</v>
      </c>
      <c r="B4" t="str">
        <f t="shared" si="0"/>
        <v>Fr</v>
      </c>
      <c r="D4" s="24">
        <v>0.29166666666666669</v>
      </c>
      <c r="E4" s="24">
        <v>0.5625</v>
      </c>
      <c r="G4" s="27">
        <f t="shared" si="1"/>
        <v>6.5</v>
      </c>
      <c r="H4" s="27">
        <f ca="1">IF(Q4&lt;&gt;"",Q4,IF(OR(C4="Feiertag",A4&lt;Gesamt!$B$11,A4&gt;Gesamt!$B$13,),0,INDIRECT("N"&amp;WEEKDAY(A4,2)+19)))</f>
        <v>6.5</v>
      </c>
      <c r="I4" s="27">
        <f t="shared" ca="1" si="2"/>
        <v>0</v>
      </c>
      <c r="J4" s="7" t="s">
        <v>74</v>
      </c>
      <c r="K4" s="39">
        <v>35.299999999999997</v>
      </c>
      <c r="L4" s="39">
        <v>27.9</v>
      </c>
      <c r="O4" s="35"/>
      <c r="Q4" s="7"/>
    </row>
    <row r="5" spans="1:17" x14ac:dyDescent="0.35">
      <c r="A5" s="29">
        <v>46116</v>
      </c>
      <c r="B5" t="str">
        <f t="shared" si="0"/>
        <v>Sa</v>
      </c>
      <c r="G5" s="27">
        <f t="shared" si="1"/>
        <v>0</v>
      </c>
      <c r="H5" s="27">
        <f ca="1">IF(Q5&lt;&gt;"",Q5,IF(OR(C5="Feiertag",A5&lt;Gesamt!$B$11,A5&gt;Gesamt!$B$13,),0,INDIRECT("N"&amp;WEEKDAY(A5,2)+19)))</f>
        <v>0</v>
      </c>
      <c r="I5" s="27">
        <f t="shared" si="2"/>
        <v>0</v>
      </c>
      <c r="J5" s="7" t="s">
        <v>74</v>
      </c>
      <c r="K5" s="39">
        <v>35.299999999999997</v>
      </c>
      <c r="L5" s="39">
        <v>27.9</v>
      </c>
      <c r="M5" s="1" t="s">
        <v>8</v>
      </c>
      <c r="N5" s="27">
        <f ca="1">SUM(I2:I32)</f>
        <v>-3.0198066269804258E-14</v>
      </c>
      <c r="O5" s="35"/>
      <c r="Q5" s="7"/>
    </row>
    <row r="6" spans="1:17" x14ac:dyDescent="0.35">
      <c r="A6" s="29">
        <v>46117</v>
      </c>
      <c r="B6" t="str">
        <f t="shared" si="0"/>
        <v>So</v>
      </c>
      <c r="G6" s="27">
        <f t="shared" si="1"/>
        <v>0</v>
      </c>
      <c r="H6" s="27">
        <f ca="1">IF(Q6&lt;&gt;"",Q6,IF(OR(C6="Feiertag",A6&lt;Gesamt!$B$11,A6&gt;Gesamt!$B$13,),0,INDIRECT("N"&amp;WEEKDAY(A6,2)+19)))</f>
        <v>0</v>
      </c>
      <c r="I6" s="27">
        <f t="shared" si="2"/>
        <v>0</v>
      </c>
      <c r="J6" s="7" t="s">
        <v>74</v>
      </c>
      <c r="K6" s="39">
        <v>35.299999999999997</v>
      </c>
      <c r="L6" s="39">
        <v>27.9</v>
      </c>
      <c r="M6" s="25"/>
      <c r="O6" s="35"/>
      <c r="Q6" s="7"/>
    </row>
    <row r="7" spans="1:17" x14ac:dyDescent="0.35">
      <c r="A7" s="29">
        <v>46118</v>
      </c>
      <c r="B7" t="str">
        <f t="shared" si="0"/>
        <v>Mo</v>
      </c>
      <c r="C7" s="2" t="s">
        <v>65</v>
      </c>
      <c r="G7" s="27">
        <f t="shared" si="1"/>
        <v>0</v>
      </c>
      <c r="H7" s="27">
        <f ca="1">IF(Q7&lt;&gt;"",Q7,IF(OR(C7="Feiertag",A7&lt;Gesamt!$B$11,A7&gt;Gesamt!$B$13,),0,INDIRECT("N"&amp;WEEKDAY(A7,2)+19)))</f>
        <v>0</v>
      </c>
      <c r="I7" s="27">
        <f t="shared" si="2"/>
        <v>0</v>
      </c>
      <c r="J7" s="7" t="s">
        <v>74</v>
      </c>
      <c r="K7" s="39">
        <v>35.299999999999997</v>
      </c>
      <c r="L7" s="39">
        <v>27.9</v>
      </c>
      <c r="M7" s="1" t="s">
        <v>59</v>
      </c>
      <c r="N7" s="27">
        <f ca="1">Gesamt!B9+SUM(Gesamt!E2:E5)-SUM(Gesamt!J2:J5)</f>
        <v>-1.1013412404281553E-13</v>
      </c>
      <c r="O7" s="35"/>
      <c r="Q7" s="7"/>
    </row>
    <row r="8" spans="1:17" x14ac:dyDescent="0.35">
      <c r="A8" s="29">
        <v>46119</v>
      </c>
      <c r="B8" t="str">
        <f t="shared" si="0"/>
        <v>Di</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7" t="s">
        <v>81</v>
      </c>
      <c r="K8" s="39">
        <v>35.299999999999997</v>
      </c>
      <c r="L8" s="39">
        <v>27.9</v>
      </c>
      <c r="M8" s="25"/>
      <c r="O8" s="35"/>
      <c r="Q8" s="7"/>
    </row>
    <row r="9" spans="1:17" x14ac:dyDescent="0.35">
      <c r="A9" s="29">
        <v>46120</v>
      </c>
      <c r="B9" t="str">
        <f t="shared" si="0"/>
        <v>Mi</v>
      </c>
      <c r="D9" s="24">
        <v>0.29166666666666669</v>
      </c>
      <c r="E9" s="24">
        <v>0.66666666666666663</v>
      </c>
      <c r="F9" s="24">
        <v>4.1666666666666664E-2</v>
      </c>
      <c r="G9" s="27">
        <f t="shared" si="1"/>
        <v>7.9999999999999982</v>
      </c>
      <c r="H9" s="27">
        <f ca="1">IF(Q9&lt;&gt;"",Q9,IF(OR(C9="Feiertag",A9&lt;Gesamt!$B$11,A9&gt;Gesamt!$B$13,),0,INDIRECT("N"&amp;WEEKDAY(A9,2)+19)))</f>
        <v>8</v>
      </c>
      <c r="I9" s="27">
        <f t="shared" ca="1" si="2"/>
        <v>-1.7763568394002505E-15</v>
      </c>
      <c r="J9" s="7" t="s">
        <v>81</v>
      </c>
      <c r="K9" s="39">
        <v>35.299999999999997</v>
      </c>
      <c r="L9" s="39">
        <v>27.9</v>
      </c>
      <c r="M9" s="1" t="s">
        <v>25</v>
      </c>
      <c r="N9">
        <f>COUNTIF(C2:C32,"krank")</f>
        <v>0</v>
      </c>
      <c r="O9" s="35"/>
      <c r="Q9" s="7"/>
    </row>
    <row r="10" spans="1:17" x14ac:dyDescent="0.35">
      <c r="A10" s="29">
        <v>46121</v>
      </c>
      <c r="B10" t="str">
        <f t="shared" si="0"/>
        <v>Do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81</v>
      </c>
      <c r="K10" s="39">
        <v>35.299999999999997</v>
      </c>
      <c r="L10" s="39">
        <v>27.9</v>
      </c>
      <c r="M10" s="25"/>
      <c r="O10" s="35"/>
      <c r="Q10" s="7"/>
    </row>
    <row r="11" spans="1:17" x14ac:dyDescent="0.35">
      <c r="A11" s="29">
        <v>46122</v>
      </c>
      <c r="B11" t="str">
        <f t="shared" si="0"/>
        <v>Fr</v>
      </c>
      <c r="D11" s="24">
        <v>0.29166666666666669</v>
      </c>
      <c r="E11" s="24">
        <v>0.5625</v>
      </c>
      <c r="G11" s="27">
        <f t="shared" si="1"/>
        <v>6.5</v>
      </c>
      <c r="H11" s="27">
        <f ca="1">IF(Q11&lt;&gt;"",Q11,IF(OR(C11="Feiertag",A11&lt;Gesamt!$B$11,A11&gt;Gesamt!$B$13,),0,INDIRECT("N"&amp;WEEKDAY(A11,2)+19)))</f>
        <v>6.5</v>
      </c>
      <c r="I11" s="27">
        <f t="shared" ca="1" si="2"/>
        <v>0</v>
      </c>
      <c r="J11" s="7" t="s">
        <v>81</v>
      </c>
      <c r="K11" s="39">
        <v>35.299999999999997</v>
      </c>
      <c r="L11" s="39">
        <v>27.9</v>
      </c>
      <c r="M11" s="1" t="s">
        <v>57</v>
      </c>
      <c r="N11" s="28">
        <f>SUM(Gesamt!F2:F5)</f>
        <v>0</v>
      </c>
      <c r="O11" s="35"/>
      <c r="Q11" s="7"/>
    </row>
    <row r="12" spans="1:17" x14ac:dyDescent="0.35">
      <c r="A12" s="29">
        <v>46123</v>
      </c>
      <c r="B12" t="str">
        <f t="shared" si="0"/>
        <v>Sa</v>
      </c>
      <c r="G12" s="27">
        <f t="shared" si="1"/>
        <v>0</v>
      </c>
      <c r="H12" s="27">
        <f ca="1">IF(Q12&lt;&gt;"",Q12,IF(OR(C12="Feiertag",A12&lt;Gesamt!$B$11,A12&gt;Gesamt!$B$13,),0,INDIRECT("N"&amp;WEEKDAY(A12,2)+19)))</f>
        <v>0</v>
      </c>
      <c r="I12" s="27">
        <f t="shared" si="2"/>
        <v>0</v>
      </c>
      <c r="J12" s="7" t="s">
        <v>81</v>
      </c>
      <c r="K12" s="39">
        <v>35.299999999999997</v>
      </c>
      <c r="L12" s="39">
        <v>27.9</v>
      </c>
      <c r="M12" s="25"/>
      <c r="O12" s="35"/>
      <c r="Q12" s="7"/>
    </row>
    <row r="13" spans="1:17" x14ac:dyDescent="0.35">
      <c r="A13" s="29">
        <v>46124</v>
      </c>
      <c r="B13" t="str">
        <f t="shared" si="0"/>
        <v>So</v>
      </c>
      <c r="G13" s="27">
        <f t="shared" si="1"/>
        <v>0</v>
      </c>
      <c r="H13" s="27">
        <f ca="1">IF(Q13&lt;&gt;"",Q13,IF(OR(C13="Feiertag",A13&lt;Gesamt!$B$11,A13&gt;Gesamt!$B$13,),0,INDIRECT("N"&amp;WEEKDAY(A13,2)+19)))</f>
        <v>0</v>
      </c>
      <c r="I13" s="27">
        <f t="shared" si="2"/>
        <v>0</v>
      </c>
      <c r="J13" s="7" t="s">
        <v>81</v>
      </c>
      <c r="K13" s="39">
        <v>35.299999999999997</v>
      </c>
      <c r="L13" s="39">
        <v>27.9</v>
      </c>
      <c r="M13" s="1" t="s">
        <v>26</v>
      </c>
      <c r="N13">
        <f>COUNTIF(C2:C32, "Urlaub")+COUNTIF(C2:C32,"Urlaub halber Tag")/2</f>
        <v>0</v>
      </c>
      <c r="O13" s="35"/>
      <c r="Q13" s="7"/>
    </row>
    <row r="14" spans="1:17" x14ac:dyDescent="0.35">
      <c r="A14" s="29">
        <v>46125</v>
      </c>
      <c r="B14" t="str">
        <f t="shared" si="0"/>
        <v>Mo</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81</v>
      </c>
      <c r="K14" s="39">
        <v>35.299999999999997</v>
      </c>
      <c r="L14" s="39">
        <v>27.9</v>
      </c>
      <c r="M14" s="25"/>
      <c r="O14" s="35"/>
      <c r="Q14" s="7"/>
    </row>
    <row r="15" spans="1:17" x14ac:dyDescent="0.35">
      <c r="A15" s="29">
        <v>46126</v>
      </c>
      <c r="B15" t="str">
        <f t="shared" si="0"/>
        <v>Di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t="s">
        <v>81</v>
      </c>
      <c r="K15" s="39">
        <v>35.299999999999997</v>
      </c>
      <c r="L15" s="39">
        <v>27.9</v>
      </c>
      <c r="M15" s="1" t="s">
        <v>58</v>
      </c>
      <c r="N15">
        <f>Gesamt!B5+Gesamt!B7-SUM(Gesamt!G2:G5)</f>
        <v>24</v>
      </c>
      <c r="O15" s="35"/>
      <c r="Q15" s="7"/>
    </row>
    <row r="16" spans="1:17" x14ac:dyDescent="0.35">
      <c r="A16" s="29">
        <v>46127</v>
      </c>
      <c r="B16" t="str">
        <f t="shared" si="0"/>
        <v>Mi</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81</v>
      </c>
      <c r="K16" s="39">
        <v>35.299999999999997</v>
      </c>
      <c r="L16" s="39">
        <v>27.9</v>
      </c>
      <c r="O16" s="35"/>
      <c r="Q16" s="7"/>
    </row>
    <row r="17" spans="1:17" x14ac:dyDescent="0.35">
      <c r="A17" s="29">
        <v>46128</v>
      </c>
      <c r="B17" t="str">
        <f t="shared" si="0"/>
        <v>Do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81</v>
      </c>
      <c r="K17" s="39">
        <v>35.299999999999997</v>
      </c>
      <c r="L17" s="39">
        <v>27.9</v>
      </c>
      <c r="M17" s="1" t="s">
        <v>50</v>
      </c>
      <c r="N17" s="27">
        <f>SUM(G2:G32)</f>
        <v>162</v>
      </c>
      <c r="O17" s="35"/>
      <c r="Q17" s="7"/>
    </row>
    <row r="18" spans="1:17" x14ac:dyDescent="0.35">
      <c r="A18" s="29">
        <v>46129</v>
      </c>
      <c r="B18" t="str">
        <f t="shared" si="0"/>
        <v>Fr</v>
      </c>
      <c r="D18" s="24">
        <v>0.29166666666666669</v>
      </c>
      <c r="E18" s="24">
        <v>0.5625</v>
      </c>
      <c r="G18" s="27">
        <f t="shared" si="1"/>
        <v>6.5</v>
      </c>
      <c r="H18" s="27">
        <f ca="1">IF(Q18&lt;&gt;"",Q18,IF(OR(C18="Feiertag",A18&lt;Gesamt!$B$11,A18&gt;Gesamt!$B$13,),0,INDIRECT("N"&amp;WEEKDAY(A18,2)+19)))</f>
        <v>6.5</v>
      </c>
      <c r="I18" s="27">
        <f t="shared" ca="1" si="2"/>
        <v>0</v>
      </c>
      <c r="J18" s="7" t="s">
        <v>81</v>
      </c>
      <c r="K18" s="39">
        <v>35.299999999999997</v>
      </c>
      <c r="L18" s="39">
        <v>27.9</v>
      </c>
      <c r="O18" s="35"/>
      <c r="Q18" s="7"/>
    </row>
    <row r="19" spans="1:17" x14ac:dyDescent="0.35">
      <c r="A19" s="29">
        <v>46130</v>
      </c>
      <c r="B19" t="str">
        <f t="shared" si="0"/>
        <v>Sa</v>
      </c>
      <c r="G19" s="27">
        <f t="shared" si="1"/>
        <v>0</v>
      </c>
      <c r="H19" s="27">
        <f ca="1">IF(Q19&lt;&gt;"",Q19,IF(OR(C19="Feiertag",A19&lt;Gesamt!$B$11,A19&gt;Gesamt!$B$13,),0,INDIRECT("N"&amp;WEEKDAY(A19,2)+19)))</f>
        <v>0</v>
      </c>
      <c r="I19" s="27">
        <f t="shared" si="2"/>
        <v>0</v>
      </c>
      <c r="J19" s="7" t="s">
        <v>81</v>
      </c>
      <c r="K19" s="39">
        <v>35.299999999999997</v>
      </c>
      <c r="L19" s="39">
        <v>27.9</v>
      </c>
      <c r="M19" s="13" t="s">
        <v>6</v>
      </c>
      <c r="O19" s="35"/>
      <c r="Q19" s="7"/>
    </row>
    <row r="20" spans="1:17" x14ac:dyDescent="0.35">
      <c r="A20" s="29">
        <v>46131</v>
      </c>
      <c r="B20" t="str">
        <f t="shared" si="0"/>
        <v>So</v>
      </c>
      <c r="G20" s="27">
        <f t="shared" si="1"/>
        <v>0</v>
      </c>
      <c r="H20" s="27">
        <f ca="1">IF(Q20&lt;&gt;"",Q20,IF(OR(C20="Feiertag",A20&lt;Gesamt!$B$11,A20&gt;Gesamt!$B$13,),0,INDIRECT("N"&amp;WEEKDAY(A20,2)+19)))</f>
        <v>0</v>
      </c>
      <c r="I20" s="27">
        <f t="shared" si="2"/>
        <v>0</v>
      </c>
      <c r="J20" s="7" t="s">
        <v>81</v>
      </c>
      <c r="K20" s="39">
        <v>35.299999999999997</v>
      </c>
      <c r="L20" s="39">
        <v>27.9</v>
      </c>
      <c r="M20" s="6" t="s">
        <v>43</v>
      </c>
      <c r="N20" s="7">
        <f>Gesamt!C30</f>
        <v>8</v>
      </c>
      <c r="O20" s="35"/>
      <c r="Q20" s="7"/>
    </row>
    <row r="21" spans="1:17" x14ac:dyDescent="0.35">
      <c r="A21" s="29">
        <v>46132</v>
      </c>
      <c r="B21" t="str">
        <f t="shared" si="0"/>
        <v>Mo</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81</v>
      </c>
      <c r="K21" s="39">
        <v>35.299999999999997</v>
      </c>
      <c r="L21" s="39">
        <v>27.9</v>
      </c>
      <c r="M21" s="6" t="s">
        <v>44</v>
      </c>
      <c r="N21" s="7">
        <f>Gesamt!C31</f>
        <v>8</v>
      </c>
      <c r="O21" s="35"/>
      <c r="Q21" s="7"/>
    </row>
    <row r="22" spans="1:17" x14ac:dyDescent="0.35">
      <c r="A22" s="29">
        <v>46133</v>
      </c>
      <c r="B22" t="str">
        <f t="shared" si="0"/>
        <v>Di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81</v>
      </c>
      <c r="K22" s="39">
        <v>35.299999999999997</v>
      </c>
      <c r="L22" s="39">
        <v>27.9</v>
      </c>
      <c r="M22" s="6" t="s">
        <v>45</v>
      </c>
      <c r="N22" s="7">
        <f>Gesamt!C32</f>
        <v>8</v>
      </c>
      <c r="O22" s="35"/>
      <c r="Q22" s="7"/>
    </row>
    <row r="23" spans="1:17" x14ac:dyDescent="0.35">
      <c r="A23" s="29">
        <v>46134</v>
      </c>
      <c r="B23" t="str">
        <f t="shared" si="0"/>
        <v>Mi</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82</v>
      </c>
      <c r="K23" s="39">
        <v>35.299999999999997</v>
      </c>
      <c r="L23" s="39">
        <v>27.9</v>
      </c>
      <c r="M23" s="6" t="s">
        <v>46</v>
      </c>
      <c r="N23" s="7">
        <f>Gesamt!C33</f>
        <v>8</v>
      </c>
      <c r="O23" s="35"/>
      <c r="Q23" s="7"/>
    </row>
    <row r="24" spans="1:17" x14ac:dyDescent="0.35">
      <c r="A24" s="29">
        <v>46135</v>
      </c>
      <c r="B24" t="str">
        <f t="shared" si="0"/>
        <v>Do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82</v>
      </c>
      <c r="K24" s="39">
        <v>35.299999999999997</v>
      </c>
      <c r="L24" s="39">
        <v>27.9</v>
      </c>
      <c r="M24" s="6" t="s">
        <v>47</v>
      </c>
      <c r="N24" s="7">
        <f>Gesamt!C34</f>
        <v>6.5</v>
      </c>
      <c r="O24" s="35"/>
      <c r="Q24" s="7"/>
    </row>
    <row r="25" spans="1:17" x14ac:dyDescent="0.35">
      <c r="A25" s="29">
        <v>46136</v>
      </c>
      <c r="B25" t="str">
        <f t="shared" si="0"/>
        <v>Fr</v>
      </c>
      <c r="D25" s="24">
        <v>0.29166666666666669</v>
      </c>
      <c r="E25" s="24">
        <v>0.5625</v>
      </c>
      <c r="G25" s="27">
        <f t="shared" si="1"/>
        <v>6.5</v>
      </c>
      <c r="H25" s="27">
        <f ca="1">IF(Q25&lt;&gt;"",Q25,IF(OR(C25="Feiertag",A25&lt;Gesamt!$B$11,A25&gt;Gesamt!$B$13,),0,INDIRECT("N"&amp;WEEKDAY(A25,2)+19)))</f>
        <v>6.5</v>
      </c>
      <c r="I25" s="27">
        <f t="shared" ca="1" si="2"/>
        <v>0</v>
      </c>
      <c r="J25" s="7" t="s">
        <v>82</v>
      </c>
      <c r="K25" s="39">
        <v>35.299999999999997</v>
      </c>
      <c r="L25" s="39">
        <v>27.9</v>
      </c>
      <c r="M25" s="6" t="s">
        <v>48</v>
      </c>
      <c r="N25" s="7">
        <f>Gesamt!C35</f>
        <v>0</v>
      </c>
      <c r="O25" s="35"/>
      <c r="Q25" s="7"/>
    </row>
    <row r="26" spans="1:17" x14ac:dyDescent="0.35">
      <c r="A26" s="29">
        <v>46137</v>
      </c>
      <c r="B26" t="str">
        <f t="shared" si="0"/>
        <v>Sa</v>
      </c>
      <c r="G26" s="27">
        <f t="shared" si="1"/>
        <v>0</v>
      </c>
      <c r="H26" s="27">
        <f ca="1">IF(Q26&lt;&gt;"",Q26,IF(OR(C26="Feiertag",A26&lt;Gesamt!$B$11,A26&gt;Gesamt!$B$13,),0,INDIRECT("N"&amp;WEEKDAY(A26,2)+19)))</f>
        <v>0</v>
      </c>
      <c r="I26" s="27">
        <f t="shared" si="2"/>
        <v>0</v>
      </c>
      <c r="J26" s="7" t="s">
        <v>82</v>
      </c>
      <c r="K26" s="39">
        <v>35.299999999999997</v>
      </c>
      <c r="L26" s="39">
        <v>27.9</v>
      </c>
      <c r="M26" s="6" t="s">
        <v>49</v>
      </c>
      <c r="N26" s="7">
        <f>Gesamt!C36</f>
        <v>0</v>
      </c>
      <c r="O26" s="35"/>
      <c r="Q26" s="7"/>
    </row>
    <row r="27" spans="1:17" x14ac:dyDescent="0.35">
      <c r="A27" s="29">
        <v>46138</v>
      </c>
      <c r="B27" t="str">
        <f t="shared" si="0"/>
        <v>So</v>
      </c>
      <c r="G27" s="27">
        <f t="shared" si="1"/>
        <v>0</v>
      </c>
      <c r="H27" s="27">
        <f ca="1">IF(Q27&lt;&gt;"",Q27,IF(OR(C27="Feiertag",A27&lt;Gesamt!$B$11,A27&gt;Gesamt!$B$13,),0,INDIRECT("N"&amp;WEEKDAY(A27,2)+19)))</f>
        <v>0</v>
      </c>
      <c r="I27" s="27">
        <f t="shared" si="2"/>
        <v>0</v>
      </c>
      <c r="J27" s="7" t="s">
        <v>82</v>
      </c>
      <c r="K27" s="39">
        <v>35.299999999999997</v>
      </c>
      <c r="L27" s="39">
        <v>27.9</v>
      </c>
      <c r="M27" s="13" t="s">
        <v>54</v>
      </c>
      <c r="N27" s="27">
        <f>SUM(N20:N26)</f>
        <v>38.5</v>
      </c>
      <c r="O27" s="35"/>
      <c r="Q27" s="7"/>
    </row>
    <row r="28" spans="1:17" x14ac:dyDescent="0.35">
      <c r="A28" s="29">
        <v>46139</v>
      </c>
      <c r="B28" t="str">
        <f t="shared" si="0"/>
        <v>Mo</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82</v>
      </c>
      <c r="K28" s="39">
        <v>35.299999999999997</v>
      </c>
      <c r="L28" s="39">
        <v>27.9</v>
      </c>
      <c r="O28" s="35"/>
      <c r="Q28" s="7"/>
    </row>
    <row r="29" spans="1:17" x14ac:dyDescent="0.35">
      <c r="A29" s="29">
        <v>46140</v>
      </c>
      <c r="B29" t="str">
        <f t="shared" si="0"/>
        <v>Di</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7" t="s">
        <v>82</v>
      </c>
      <c r="K29" s="39">
        <v>35.299999999999997</v>
      </c>
      <c r="L29" s="39">
        <v>27.9</v>
      </c>
      <c r="O29" s="35"/>
      <c r="Q29" s="7"/>
    </row>
    <row r="30" spans="1:17" x14ac:dyDescent="0.35">
      <c r="A30" s="29">
        <v>46141</v>
      </c>
      <c r="B30" t="str">
        <f t="shared" si="0"/>
        <v>Mi</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82</v>
      </c>
      <c r="K30" s="39">
        <v>35.299999999999997</v>
      </c>
      <c r="L30" s="39">
        <v>27.9</v>
      </c>
      <c r="M30" s="42" t="s">
        <v>83</v>
      </c>
      <c r="O30" s="35"/>
      <c r="Q30" s="7"/>
    </row>
    <row r="31" spans="1:17" x14ac:dyDescent="0.35">
      <c r="A31" s="29">
        <v>46142</v>
      </c>
      <c r="B31" t="str">
        <f t="shared" si="0"/>
        <v>Do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82</v>
      </c>
      <c r="K31" s="39">
        <v>35.299999999999997</v>
      </c>
      <c r="L31" s="39">
        <v>27.9</v>
      </c>
      <c r="O31" s="35"/>
      <c r="Q31" s="7"/>
    </row>
    <row r="32" spans="1:17" x14ac:dyDescent="0.35">
      <c r="A32" s="23"/>
      <c r="H32" s="7"/>
      <c r="I32" s="7"/>
      <c r="J32" s="7"/>
      <c r="K32" s="39"/>
      <c r="L32" s="39"/>
    </row>
    <row r="33" spans="10:12" x14ac:dyDescent="0.35">
      <c r="J33" s="2" t="s">
        <v>68</v>
      </c>
      <c r="K33" s="39">
        <f>SUM(K2:K32)</f>
        <v>1058.9999999999995</v>
      </c>
      <c r="L33" s="39">
        <f>SUM(L2:L32)</f>
        <v>836.99999999999955</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F4">
    <cfRule type="expression" dxfId="37" priority="1">
      <formula>$C2="Feiertag"</formula>
    </cfRule>
    <cfRule type="expression" dxfId="36" priority="2">
      <formula>WEEKDAY($A2,2)&gt;=6</formula>
    </cfRule>
  </conditionalFormatting>
  <conditionalFormatting sqref="A7:F11">
    <cfRule type="expression" dxfId="35" priority="9">
      <formula>$C7="Feiertag"</formula>
    </cfRule>
    <cfRule type="expression" dxfId="34" priority="10">
      <formula>WEEKDAY($A7,2)&gt;=6</formula>
    </cfRule>
  </conditionalFormatting>
  <conditionalFormatting sqref="A21:F25">
    <cfRule type="expression" dxfId="33" priority="5">
      <formula>$C21="Feiertag"</formula>
    </cfRule>
    <cfRule type="expression" dxfId="32" priority="6">
      <formula>WEEKDAY($A21,2)&gt;=6</formula>
    </cfRule>
  </conditionalFormatting>
  <conditionalFormatting sqref="A12:I20">
    <cfRule type="expression" dxfId="31" priority="7">
      <formula>$C12="Feiertag"</formula>
    </cfRule>
    <cfRule type="expression" dxfId="30" priority="8">
      <formula>WEEKDAY($A12,2)&gt;=6</formula>
    </cfRule>
  </conditionalFormatting>
  <conditionalFormatting sqref="A26:I31">
    <cfRule type="expression" dxfId="29" priority="3">
      <formula>$C26="Feiertag"</formula>
    </cfRule>
    <cfRule type="expression" dxfId="28" priority="4">
      <formula>WEEKDAY($A26,2)&gt;=6</formula>
    </cfRule>
  </conditionalFormatting>
  <conditionalFormatting sqref="G2:J2 G3:I4 J3:J7 A5:I6 G7:I7 G8:J8 G9:I11 J9:J20 G21:J23 G24:I25 J24:J31">
    <cfRule type="expression" dxfId="27" priority="11">
      <formula>$C2="Feiertag"</formula>
    </cfRule>
    <cfRule type="expression" dxfId="26" priority="1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topLeftCell="A10" zoomScaleNormal="100" workbookViewId="0">
      <selection activeCell="D19" sqref="D19:F23"/>
    </sheetView>
  </sheetViews>
  <sheetFormatPr baseColWidth="10" defaultColWidth="11.453125" defaultRowHeight="14.5" x14ac:dyDescent="0.3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35">
      <c r="A2" s="29">
        <v>46143</v>
      </c>
      <c r="B2" t="str">
        <f>TEXT(A2,"TTT")</f>
        <v>Fr</v>
      </c>
      <c r="C2" s="2" t="s">
        <v>65</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t="s">
        <v>82</v>
      </c>
      <c r="K2" s="39">
        <v>35.299999999999997</v>
      </c>
      <c r="L2" s="39">
        <v>27.9</v>
      </c>
      <c r="M2" s="25"/>
      <c r="O2" s="35"/>
      <c r="Q2" s="7"/>
    </row>
    <row r="3" spans="1:17" x14ac:dyDescent="0.35">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t="s">
        <v>82</v>
      </c>
      <c r="K3" s="39">
        <v>35.299999999999997</v>
      </c>
      <c r="L3" s="39">
        <v>27.9</v>
      </c>
      <c r="M3" s="47" t="str">
        <f>Gesamt!A3</f>
        <v>Mirko GASPARIN</v>
      </c>
      <c r="N3" s="47"/>
      <c r="O3" s="35"/>
      <c r="Q3" s="7"/>
    </row>
    <row r="4" spans="1:17" x14ac:dyDescent="0.35">
      <c r="A4" s="29">
        <v>46145</v>
      </c>
      <c r="B4" t="str">
        <f t="shared" si="0"/>
        <v>So</v>
      </c>
      <c r="G4" s="27">
        <f t="shared" si="1"/>
        <v>0</v>
      </c>
      <c r="H4" s="27">
        <f ca="1">IF(Q4&lt;&gt;"",Q4,IF(OR(C4="Feiertag",A4&lt;Gesamt!$B$11,A4&gt;Gesamt!$B$13,),0,INDIRECT("N"&amp;WEEKDAY(A4,2)+19)))</f>
        <v>0</v>
      </c>
      <c r="I4" s="27">
        <f t="shared" si="2"/>
        <v>0</v>
      </c>
      <c r="J4" s="7" t="s">
        <v>82</v>
      </c>
      <c r="K4" s="39">
        <v>35.299999999999997</v>
      </c>
      <c r="L4" s="39">
        <v>27.9</v>
      </c>
      <c r="O4" s="35"/>
      <c r="Q4" s="7"/>
    </row>
    <row r="5" spans="1:17" x14ac:dyDescent="0.35">
      <c r="A5" s="29">
        <v>46146</v>
      </c>
      <c r="B5" t="str">
        <f t="shared" si="0"/>
        <v>Mo</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82</v>
      </c>
      <c r="K5" s="39">
        <v>35.299999999999997</v>
      </c>
      <c r="L5" s="39">
        <v>27.9</v>
      </c>
      <c r="M5" s="1" t="s">
        <v>8</v>
      </c>
      <c r="N5" s="27">
        <f ca="1">SUM(I2:I32)</f>
        <v>-2.4868995751603507E-14</v>
      </c>
      <c r="O5" s="35"/>
      <c r="Q5" s="7"/>
    </row>
    <row r="6" spans="1:17" x14ac:dyDescent="0.35">
      <c r="A6" s="29">
        <v>46147</v>
      </c>
      <c r="B6" t="str">
        <f t="shared" si="0"/>
        <v>Di</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82</v>
      </c>
      <c r="K6" s="39">
        <v>35.299999999999997</v>
      </c>
      <c r="L6" s="39">
        <v>27.9</v>
      </c>
      <c r="M6" s="25"/>
      <c r="O6" s="35"/>
      <c r="Q6" s="7"/>
    </row>
    <row r="7" spans="1:17" x14ac:dyDescent="0.35">
      <c r="A7" s="29">
        <v>46148</v>
      </c>
      <c r="B7" t="str">
        <f t="shared" si="0"/>
        <v>Mi</v>
      </c>
      <c r="D7" s="24">
        <v>0.29166666666666669</v>
      </c>
      <c r="E7" s="24">
        <v>0.66666666666666663</v>
      </c>
      <c r="F7" s="24">
        <v>4.1666666666666664E-2</v>
      </c>
      <c r="G7" s="27">
        <f t="shared" si="1"/>
        <v>7.9999999999999982</v>
      </c>
      <c r="H7" s="27">
        <f ca="1">IF(Q7&lt;&gt;"",Q7,IF(OR(C7="Feiertag",A7&lt;Gesamt!$B$11,A7&gt;Gesamt!$B$13,),0,INDIRECT("N"&amp;WEEKDAY(A7,2)+19)))</f>
        <v>8</v>
      </c>
      <c r="I7" s="27">
        <f t="shared" ca="1" si="2"/>
        <v>-1.7763568394002505E-15</v>
      </c>
      <c r="J7" s="7" t="s">
        <v>82</v>
      </c>
      <c r="K7" s="39">
        <v>35.299999999999997</v>
      </c>
      <c r="L7" s="39">
        <v>27.9</v>
      </c>
      <c r="M7" s="1" t="s">
        <v>59</v>
      </c>
      <c r="N7" s="27">
        <f ca="1">Gesamt!B9+SUM(Gesamt!E2:E6)-SUM(Gesamt!J2:J6)</f>
        <v>-1.3500311979441904E-13</v>
      </c>
      <c r="O7" s="35"/>
      <c r="Q7" s="7"/>
    </row>
    <row r="8" spans="1:17" x14ac:dyDescent="0.35">
      <c r="A8" s="29">
        <v>46149</v>
      </c>
      <c r="B8" t="str">
        <f t="shared" si="0"/>
        <v>Do</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7" t="s">
        <v>82</v>
      </c>
      <c r="K8" s="39">
        <v>35.299999999999997</v>
      </c>
      <c r="L8" s="39">
        <v>27.9</v>
      </c>
      <c r="M8" s="25"/>
      <c r="O8" s="35"/>
      <c r="Q8" s="7"/>
    </row>
    <row r="9" spans="1:17" x14ac:dyDescent="0.35">
      <c r="A9" s="29">
        <v>46150</v>
      </c>
      <c r="B9" t="str">
        <f t="shared" si="0"/>
        <v>Fr</v>
      </c>
      <c r="D9" s="24">
        <v>0.29166666666666669</v>
      </c>
      <c r="E9" s="24">
        <v>0.5625</v>
      </c>
      <c r="G9" s="27">
        <f t="shared" si="1"/>
        <v>6.5</v>
      </c>
      <c r="H9" s="27">
        <f ca="1">IF(Q9&lt;&gt;"",Q9,IF(OR(C9="Feiertag",A9&lt;Gesamt!$B$11,A9&gt;Gesamt!$B$13,),0,INDIRECT("N"&amp;WEEKDAY(A9,2)+19)))</f>
        <v>6.5</v>
      </c>
      <c r="I9" s="27">
        <f t="shared" ca="1" si="2"/>
        <v>0</v>
      </c>
      <c r="J9" s="7" t="s">
        <v>82</v>
      </c>
      <c r="K9" s="39">
        <v>35.299999999999997</v>
      </c>
      <c r="L9" s="39">
        <v>27.9</v>
      </c>
      <c r="M9" s="1" t="s">
        <v>25</v>
      </c>
      <c r="N9">
        <f>COUNTIF(C2:C32,"krank")</f>
        <v>0</v>
      </c>
      <c r="O9" s="35"/>
      <c r="Q9" s="7"/>
    </row>
    <row r="10" spans="1:17" x14ac:dyDescent="0.35">
      <c r="A10" s="29">
        <v>46151</v>
      </c>
      <c r="B10" t="str">
        <f t="shared" si="0"/>
        <v>Sa</v>
      </c>
      <c r="G10" s="27">
        <f t="shared" si="1"/>
        <v>0</v>
      </c>
      <c r="H10" s="27">
        <f ca="1">IF(Q10&lt;&gt;"",Q10,IF(OR(C10="Feiertag",A10&lt;Gesamt!$B$11,A10&gt;Gesamt!$B$13,),0,INDIRECT("N"&amp;WEEKDAY(A10,2)+19)))</f>
        <v>0</v>
      </c>
      <c r="I10" s="27">
        <f t="shared" si="2"/>
        <v>0</v>
      </c>
      <c r="J10" s="7" t="s">
        <v>82</v>
      </c>
      <c r="K10" s="39">
        <v>35.299999999999997</v>
      </c>
      <c r="L10" s="39">
        <v>27.9</v>
      </c>
      <c r="M10" s="25"/>
      <c r="O10" s="35"/>
      <c r="Q10" s="7"/>
    </row>
    <row r="11" spans="1:17" x14ac:dyDescent="0.35">
      <c r="A11" s="29">
        <v>46152</v>
      </c>
      <c r="B11" t="str">
        <f t="shared" si="0"/>
        <v>So</v>
      </c>
      <c r="G11" s="27">
        <f t="shared" si="1"/>
        <v>0</v>
      </c>
      <c r="H11" s="27">
        <f ca="1">IF(Q11&lt;&gt;"",Q11,IF(OR(C11="Feiertag",A11&lt;Gesamt!$B$11,A11&gt;Gesamt!$B$13,),0,INDIRECT("N"&amp;WEEKDAY(A11,2)+19)))</f>
        <v>0</v>
      </c>
      <c r="I11" s="27">
        <f t="shared" si="2"/>
        <v>0</v>
      </c>
      <c r="J11" s="7" t="s">
        <v>82</v>
      </c>
      <c r="K11" s="39">
        <v>35.299999999999997</v>
      </c>
      <c r="L11" s="39">
        <v>27.9</v>
      </c>
      <c r="M11" s="1" t="s">
        <v>57</v>
      </c>
      <c r="N11" s="28">
        <f>SUM(Gesamt!F2:F6)</f>
        <v>0</v>
      </c>
      <c r="O11" s="35"/>
      <c r="Q11" s="7"/>
    </row>
    <row r="12" spans="1:17" x14ac:dyDescent="0.35">
      <c r="A12" s="29">
        <v>46153</v>
      </c>
      <c r="B12" t="str">
        <f t="shared" si="0"/>
        <v>Mo</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82</v>
      </c>
      <c r="K12" s="39">
        <v>35.299999999999997</v>
      </c>
      <c r="L12" s="39">
        <v>27.9</v>
      </c>
      <c r="M12" s="25"/>
      <c r="O12" s="35"/>
      <c r="Q12" s="7"/>
    </row>
    <row r="13" spans="1:17" x14ac:dyDescent="0.35">
      <c r="A13" s="29">
        <v>46154</v>
      </c>
      <c r="B13" t="str">
        <f t="shared" si="0"/>
        <v>Di</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82</v>
      </c>
      <c r="K13" s="39">
        <v>35.299999999999997</v>
      </c>
      <c r="L13" s="39">
        <v>27.9</v>
      </c>
      <c r="M13" s="1" t="s">
        <v>26</v>
      </c>
      <c r="N13">
        <f>COUNTIF(C2:C32, "Urlaub")+COUNTIF(C2:C32,"Urlaub halber Tag")/2</f>
        <v>0</v>
      </c>
      <c r="O13" s="35"/>
      <c r="Q13" s="7"/>
    </row>
    <row r="14" spans="1:17" x14ac:dyDescent="0.35">
      <c r="A14" s="29">
        <v>46155</v>
      </c>
      <c r="B14" t="str">
        <f t="shared" si="0"/>
        <v>Mi</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82</v>
      </c>
      <c r="K14" s="39">
        <v>35.299999999999997</v>
      </c>
      <c r="L14" s="39">
        <v>27.9</v>
      </c>
      <c r="M14" s="25"/>
      <c r="O14" s="35"/>
      <c r="Q14" s="7"/>
    </row>
    <row r="15" spans="1:17" x14ac:dyDescent="0.35">
      <c r="A15" s="29">
        <v>46156</v>
      </c>
      <c r="B15" t="str">
        <f t="shared" si="0"/>
        <v>Do</v>
      </c>
      <c r="C15" s="2" t="s">
        <v>65</v>
      </c>
      <c r="G15" s="27">
        <f t="shared" si="1"/>
        <v>0</v>
      </c>
      <c r="H15" s="27">
        <f ca="1">IF(Q15&lt;&gt;"",Q15,IF(OR(C15="Feiertag",A15&lt;Gesamt!$B$11,A15&gt;Gesamt!$B$13,),0,INDIRECT("N"&amp;WEEKDAY(A15,2)+19)))</f>
        <v>0</v>
      </c>
      <c r="I15" s="27">
        <f t="shared" si="2"/>
        <v>0</v>
      </c>
      <c r="J15" s="7" t="s">
        <v>82</v>
      </c>
      <c r="K15" s="39">
        <v>35.299999999999997</v>
      </c>
      <c r="L15" s="39">
        <v>27.9</v>
      </c>
      <c r="M15" s="1" t="s">
        <v>58</v>
      </c>
      <c r="N15">
        <f>Gesamt!B5+Gesamt!B7-SUM(Gesamt!G2:G6)</f>
        <v>24</v>
      </c>
      <c r="O15" s="35"/>
      <c r="Q15" s="7"/>
    </row>
    <row r="16" spans="1:17" x14ac:dyDescent="0.35">
      <c r="A16" s="29">
        <v>46157</v>
      </c>
      <c r="B16" t="str">
        <f t="shared" si="0"/>
        <v>Fr</v>
      </c>
      <c r="D16" s="24">
        <v>0.29166666666666669</v>
      </c>
      <c r="E16" s="24">
        <v>0.5625</v>
      </c>
      <c r="G16" s="27">
        <f t="shared" si="1"/>
        <v>6.5</v>
      </c>
      <c r="H16" s="27">
        <f ca="1">IF(Q16&lt;&gt;"",Q16,IF(OR(C16="Feiertag",A16&lt;Gesamt!$B$11,A16&gt;Gesamt!$B$13,),0,INDIRECT("N"&amp;WEEKDAY(A16,2)+19)))</f>
        <v>6.5</v>
      </c>
      <c r="I16" s="27">
        <f t="shared" ca="1" si="2"/>
        <v>0</v>
      </c>
      <c r="J16" s="7" t="s">
        <v>82</v>
      </c>
      <c r="K16" s="39">
        <v>35.299999999999997</v>
      </c>
      <c r="L16" s="39">
        <v>27.9</v>
      </c>
      <c r="O16" s="35"/>
      <c r="Q16" s="7"/>
    </row>
    <row r="17" spans="1:17" x14ac:dyDescent="0.35">
      <c r="A17" s="29">
        <v>46158</v>
      </c>
      <c r="B17" t="str">
        <f t="shared" si="0"/>
        <v>Sa</v>
      </c>
      <c r="G17" s="27">
        <f t="shared" si="1"/>
        <v>0</v>
      </c>
      <c r="H17" s="27">
        <f ca="1">IF(Q17&lt;&gt;"",Q17,IF(OR(C17="Feiertag",A17&lt;Gesamt!$B$11,A17&gt;Gesamt!$B$13,),0,INDIRECT("N"&amp;WEEKDAY(A17,2)+19)))</f>
        <v>0</v>
      </c>
      <c r="I17" s="27">
        <f t="shared" si="2"/>
        <v>0</v>
      </c>
      <c r="J17" s="7" t="s">
        <v>82</v>
      </c>
      <c r="K17" s="39">
        <v>35.299999999999997</v>
      </c>
      <c r="L17" s="39">
        <v>27.9</v>
      </c>
      <c r="M17" s="1" t="s">
        <v>50</v>
      </c>
      <c r="N17" s="27">
        <f>SUM(G2:G32)</f>
        <v>138</v>
      </c>
      <c r="O17" s="35"/>
      <c r="Q17" s="7"/>
    </row>
    <row r="18" spans="1:17" x14ac:dyDescent="0.35">
      <c r="A18" s="29">
        <v>46159</v>
      </c>
      <c r="B18" t="str">
        <f t="shared" si="0"/>
        <v>So</v>
      </c>
      <c r="G18" s="27">
        <f t="shared" si="1"/>
        <v>0</v>
      </c>
      <c r="H18" s="27">
        <f ca="1">IF(Q18&lt;&gt;"",Q18,IF(OR(C18="Feiertag",A18&lt;Gesamt!$B$11,A18&gt;Gesamt!$B$13,),0,INDIRECT("N"&amp;WEEKDAY(A18,2)+19)))</f>
        <v>0</v>
      </c>
      <c r="I18" s="27">
        <f t="shared" si="2"/>
        <v>0</v>
      </c>
      <c r="J18" s="7" t="s">
        <v>74</v>
      </c>
      <c r="K18" s="39">
        <v>35.299999999999997</v>
      </c>
      <c r="L18" s="39">
        <v>27.9</v>
      </c>
      <c r="O18" s="35"/>
      <c r="Q18" s="7"/>
    </row>
    <row r="19" spans="1:17" x14ac:dyDescent="0.35">
      <c r="A19" s="29">
        <v>46160</v>
      </c>
      <c r="B19" t="str">
        <f t="shared" si="0"/>
        <v>Mo</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74</v>
      </c>
      <c r="K19" s="39">
        <v>35.299999999999997</v>
      </c>
      <c r="L19" s="39">
        <v>27.9</v>
      </c>
      <c r="M19" s="13" t="s">
        <v>6</v>
      </c>
      <c r="O19" s="35"/>
      <c r="Q19" s="7"/>
    </row>
    <row r="20" spans="1:17" x14ac:dyDescent="0.35">
      <c r="A20" s="29">
        <v>46161</v>
      </c>
      <c r="B20" t="str">
        <f t="shared" si="0"/>
        <v>Di</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74</v>
      </c>
      <c r="K20" s="39">
        <v>35.299999999999997</v>
      </c>
      <c r="L20" s="39">
        <v>27.9</v>
      </c>
      <c r="M20" s="6" t="s">
        <v>43</v>
      </c>
      <c r="N20" s="7">
        <f>Gesamt!C30</f>
        <v>8</v>
      </c>
      <c r="O20" s="35"/>
      <c r="Q20" s="7"/>
    </row>
    <row r="21" spans="1:17" x14ac:dyDescent="0.35">
      <c r="A21" s="29">
        <v>46162</v>
      </c>
      <c r="B21" t="str">
        <f t="shared" si="0"/>
        <v>Mi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74</v>
      </c>
      <c r="K21" s="39">
        <v>35.299999999999997</v>
      </c>
      <c r="L21" s="39">
        <v>27.9</v>
      </c>
      <c r="M21" s="6" t="s">
        <v>44</v>
      </c>
      <c r="N21" s="7">
        <f>Gesamt!C31</f>
        <v>8</v>
      </c>
      <c r="O21" s="35"/>
      <c r="Q21" s="7"/>
    </row>
    <row r="22" spans="1:17" x14ac:dyDescent="0.35">
      <c r="A22" s="29">
        <v>46163</v>
      </c>
      <c r="B22" t="str">
        <f t="shared" si="0"/>
        <v>Do</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82</v>
      </c>
      <c r="K22" s="39">
        <v>35.299999999999997</v>
      </c>
      <c r="L22" s="39">
        <v>27.9</v>
      </c>
      <c r="M22" s="6" t="s">
        <v>45</v>
      </c>
      <c r="N22" s="7">
        <f>Gesamt!C32</f>
        <v>8</v>
      </c>
      <c r="O22" s="35"/>
      <c r="Q22" s="7"/>
    </row>
    <row r="23" spans="1:17" x14ac:dyDescent="0.35">
      <c r="A23" s="29">
        <v>46164</v>
      </c>
      <c r="B23" t="str">
        <f t="shared" si="0"/>
        <v>Fr</v>
      </c>
      <c r="D23" s="24">
        <v>0.29166666666666669</v>
      </c>
      <c r="E23" s="24">
        <v>0.5625</v>
      </c>
      <c r="G23" s="27">
        <f t="shared" si="1"/>
        <v>6.5</v>
      </c>
      <c r="H23" s="27">
        <f ca="1">IF(Q23&lt;&gt;"",Q23,IF(OR(C23="Feiertag",A23&lt;Gesamt!$B$11,A23&gt;Gesamt!$B$13,),0,INDIRECT("N"&amp;WEEKDAY(A23,2)+19)))</f>
        <v>6.5</v>
      </c>
      <c r="I23" s="27">
        <f t="shared" ca="1" si="2"/>
        <v>0</v>
      </c>
      <c r="J23" s="7" t="s">
        <v>82</v>
      </c>
      <c r="K23" s="39">
        <v>35.299999999999997</v>
      </c>
      <c r="L23" s="39">
        <v>27.9</v>
      </c>
      <c r="M23" s="6" t="s">
        <v>46</v>
      </c>
      <c r="N23" s="7">
        <f>Gesamt!C33</f>
        <v>8</v>
      </c>
      <c r="O23" s="35"/>
      <c r="Q23" s="7"/>
    </row>
    <row r="24" spans="1:17" x14ac:dyDescent="0.35">
      <c r="A24" s="29">
        <v>46165</v>
      </c>
      <c r="B24" t="str">
        <f t="shared" si="0"/>
        <v>Sa</v>
      </c>
      <c r="G24" s="27">
        <f t="shared" si="1"/>
        <v>0</v>
      </c>
      <c r="H24" s="27">
        <f ca="1">IF(Q24&lt;&gt;"",Q24,IF(OR(C24="Feiertag",A24&lt;Gesamt!$B$11,A24&gt;Gesamt!$B$13,),0,INDIRECT("N"&amp;WEEKDAY(A24,2)+19)))</f>
        <v>0</v>
      </c>
      <c r="I24" s="27">
        <f t="shared" si="2"/>
        <v>0</v>
      </c>
      <c r="J24" s="7" t="s">
        <v>82</v>
      </c>
      <c r="K24" s="39">
        <v>35.299999999999997</v>
      </c>
      <c r="L24" s="39">
        <v>27.9</v>
      </c>
      <c r="M24" s="6" t="s">
        <v>47</v>
      </c>
      <c r="N24" s="7">
        <f>Gesamt!C34</f>
        <v>6.5</v>
      </c>
      <c r="O24" s="35"/>
      <c r="Q24" s="7"/>
    </row>
    <row r="25" spans="1:17" x14ac:dyDescent="0.35">
      <c r="A25" s="29">
        <v>46166</v>
      </c>
      <c r="B25" t="str">
        <f t="shared" si="0"/>
        <v>So</v>
      </c>
      <c r="G25" s="27">
        <f t="shared" si="1"/>
        <v>0</v>
      </c>
      <c r="H25" s="27">
        <f ca="1">IF(Q25&lt;&gt;"",Q25,IF(OR(C25="Feiertag",A25&lt;Gesamt!$B$11,A25&gt;Gesamt!$B$13,),0,INDIRECT("N"&amp;WEEKDAY(A25,2)+19)))</f>
        <v>0</v>
      </c>
      <c r="I25" s="27">
        <f t="shared" si="2"/>
        <v>0</v>
      </c>
      <c r="J25" s="7" t="s">
        <v>85</v>
      </c>
      <c r="K25" s="39">
        <v>35.299999999999997</v>
      </c>
      <c r="L25" s="39">
        <v>27.9</v>
      </c>
      <c r="M25" s="6" t="s">
        <v>48</v>
      </c>
      <c r="N25" s="7">
        <f>Gesamt!C35</f>
        <v>0</v>
      </c>
      <c r="O25" s="35"/>
      <c r="Q25" s="7"/>
    </row>
    <row r="26" spans="1:17" x14ac:dyDescent="0.35">
      <c r="A26" s="29">
        <v>46167</v>
      </c>
      <c r="B26" t="str">
        <f t="shared" si="0"/>
        <v>Mo</v>
      </c>
      <c r="C26" s="2" t="s">
        <v>65</v>
      </c>
      <c r="G26" s="27">
        <f t="shared" si="1"/>
        <v>0</v>
      </c>
      <c r="H26" s="27">
        <f ca="1">IF(Q26&lt;&gt;"",Q26,IF(OR(C26="Feiertag",A26&lt;Gesamt!$B$11,A26&gt;Gesamt!$B$13,),0,INDIRECT("N"&amp;WEEKDAY(A26,2)+19)))</f>
        <v>0</v>
      </c>
      <c r="I26" s="27">
        <f t="shared" si="2"/>
        <v>0</v>
      </c>
      <c r="J26" s="7" t="s">
        <v>85</v>
      </c>
      <c r="K26" s="39">
        <v>35.299999999999997</v>
      </c>
      <c r="L26" s="39">
        <v>27.9</v>
      </c>
      <c r="M26" s="6" t="s">
        <v>49</v>
      </c>
      <c r="N26" s="7">
        <f>Gesamt!C36</f>
        <v>0</v>
      </c>
      <c r="O26" s="35"/>
      <c r="Q26" s="7"/>
    </row>
    <row r="27" spans="1:17" x14ac:dyDescent="0.35">
      <c r="A27" s="29">
        <v>46168</v>
      </c>
      <c r="B27" t="str">
        <f t="shared" si="0"/>
        <v>Di</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85</v>
      </c>
      <c r="K27" s="39">
        <v>35.299999999999997</v>
      </c>
      <c r="L27" s="39">
        <v>27.9</v>
      </c>
      <c r="M27" s="13" t="s">
        <v>54</v>
      </c>
      <c r="N27" s="27">
        <f>SUM(N20:N26)</f>
        <v>38.5</v>
      </c>
      <c r="O27" s="35"/>
      <c r="Q27" s="7"/>
    </row>
    <row r="28" spans="1:17" x14ac:dyDescent="0.35">
      <c r="A28" s="29">
        <v>46169</v>
      </c>
      <c r="B28" t="str">
        <f t="shared" si="0"/>
        <v>Mi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85</v>
      </c>
      <c r="K28" s="39">
        <v>35.299999999999997</v>
      </c>
      <c r="L28" s="39">
        <v>27.9</v>
      </c>
      <c r="O28" s="35"/>
      <c r="Q28" s="7"/>
    </row>
    <row r="29" spans="1:17" x14ac:dyDescent="0.35">
      <c r="A29" s="29">
        <v>46170</v>
      </c>
      <c r="B29" t="str">
        <f t="shared" si="0"/>
        <v>Do</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7" t="s">
        <v>85</v>
      </c>
      <c r="K29" s="39">
        <v>35.299999999999997</v>
      </c>
      <c r="L29" s="39">
        <v>27.9</v>
      </c>
      <c r="M29" s="42" t="s">
        <v>86</v>
      </c>
      <c r="N29" s="2" t="s">
        <v>88</v>
      </c>
      <c r="O29" s="45">
        <f>1500+1500+2000+2010+2000+2000</f>
        <v>11010</v>
      </c>
      <c r="Q29" s="7"/>
    </row>
    <row r="30" spans="1:17" x14ac:dyDescent="0.35">
      <c r="A30" s="29">
        <v>46171</v>
      </c>
      <c r="B30" t="str">
        <f t="shared" si="0"/>
        <v>Fr</v>
      </c>
      <c r="D30" s="24">
        <v>0.29166666666666669</v>
      </c>
      <c r="E30" s="24">
        <v>0.5625</v>
      </c>
      <c r="G30" s="27">
        <f t="shared" si="1"/>
        <v>6.5</v>
      </c>
      <c r="H30" s="27">
        <f ca="1">IF(Q30&lt;&gt;"",Q30,IF(OR(C30="Feiertag",A30&lt;Gesamt!$B$11,A30&gt;Gesamt!$B$13,),0,INDIRECT("N"&amp;WEEKDAY(A30,2)+19)))</f>
        <v>6.5</v>
      </c>
      <c r="I30" s="27">
        <f t="shared" ca="1" si="2"/>
        <v>0</v>
      </c>
      <c r="J30" s="7" t="s">
        <v>85</v>
      </c>
      <c r="K30" s="39">
        <v>35.299999999999997</v>
      </c>
      <c r="L30" s="39">
        <v>27.9</v>
      </c>
      <c r="O30" s="35"/>
      <c r="Q30" s="7"/>
    </row>
    <row r="31" spans="1:17" x14ac:dyDescent="0.35">
      <c r="A31" s="29">
        <v>46172</v>
      </c>
      <c r="B31" t="str">
        <f t="shared" si="0"/>
        <v>Sa</v>
      </c>
      <c r="G31" s="27">
        <f t="shared" si="1"/>
        <v>0</v>
      </c>
      <c r="H31" s="27">
        <f ca="1">IF(Q31&lt;&gt;"",Q31,IF(OR(C31="Feiertag",A31&lt;Gesamt!$B$11,A31&gt;Gesamt!$B$13,),0,INDIRECT("N"&amp;WEEKDAY(A31,2)+19)))</f>
        <v>0</v>
      </c>
      <c r="I31" s="27">
        <f t="shared" si="2"/>
        <v>0</v>
      </c>
      <c r="J31" s="7" t="s">
        <v>85</v>
      </c>
      <c r="K31" s="39">
        <v>35.299999999999997</v>
      </c>
      <c r="L31" s="39">
        <v>27.9</v>
      </c>
      <c r="O31" s="35"/>
      <c r="Q31" s="7"/>
    </row>
    <row r="32" spans="1:17" x14ac:dyDescent="0.35">
      <c r="A32" s="29">
        <v>46173</v>
      </c>
      <c r="B32" t="str">
        <f t="shared" si="0"/>
        <v>So</v>
      </c>
      <c r="G32" s="27">
        <f t="shared" si="1"/>
        <v>0</v>
      </c>
      <c r="H32" s="27">
        <f ca="1">IF(Q32&lt;&gt;"",Q32,IF(OR(C32="Feiertag",A32&lt;Gesamt!$B$11,A32&gt;Gesamt!$B$13,),0,INDIRECT("N"&amp;WEEKDAY(A32,2)+19)))</f>
        <v>0</v>
      </c>
      <c r="I32" s="27">
        <f t="shared" si="2"/>
        <v>0</v>
      </c>
      <c r="J32" s="7" t="s">
        <v>85</v>
      </c>
      <c r="K32" s="39">
        <v>35.299999999999997</v>
      </c>
      <c r="L32" s="39">
        <v>27.9</v>
      </c>
      <c r="M32" s="44" t="s">
        <v>87</v>
      </c>
      <c r="O32" s="35"/>
      <c r="Q32" s="7"/>
    </row>
    <row r="33" spans="10:12" x14ac:dyDescent="0.35">
      <c r="K33" s="39"/>
      <c r="L33" s="39"/>
    </row>
    <row r="34" spans="10:12" x14ac:dyDescent="0.35">
      <c r="J34" s="2" t="s">
        <v>68</v>
      </c>
      <c r="K34" s="39">
        <f>SUM(K2:K33)</f>
        <v>1094.2999999999995</v>
      </c>
      <c r="L34" s="39">
        <f>SUM(L2:L33)</f>
        <v>864.89999999999952</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19:F23">
    <cfRule type="expression" dxfId="25" priority="16">
      <formula>WEEKDAY($A19,2)&gt;=6</formula>
    </cfRule>
  </conditionalFormatting>
  <conditionalFormatting sqref="A2:J18">
    <cfRule type="expression" dxfId="24" priority="8">
      <formula>WEEKDAY($A2,2)&gt;=6</formula>
    </cfRule>
  </conditionalFormatting>
  <conditionalFormatting sqref="A2:J32">
    <cfRule type="expression" dxfId="23" priority="1">
      <formula>$C2="Feiertag"</formula>
    </cfRule>
  </conditionalFormatting>
  <conditionalFormatting sqref="A25:J32">
    <cfRule type="expression" dxfId="22" priority="14">
      <formula>WEEKDAY($A25,2)&gt;=6</formula>
    </cfRule>
  </conditionalFormatting>
  <conditionalFormatting sqref="G19:J21 G22:I23 A24:I24">
    <cfRule type="expression" dxfId="21" priority="20">
      <formula>WEEKDAY($A19,2)&gt;=6</formula>
    </cfRule>
  </conditionalFormatting>
  <conditionalFormatting sqref="J22:J24">
    <cfRule type="expression" dxfId="20" priority="2">
      <formula>WEEKDAY($A22,2)&gt;=6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tabSelected="1" topLeftCell="A7" zoomScale="90" zoomScaleNormal="90" workbookViewId="0">
      <selection activeCell="M30" sqref="M30"/>
    </sheetView>
  </sheetViews>
  <sheetFormatPr baseColWidth="10" defaultColWidth="11.453125" defaultRowHeight="14.5" x14ac:dyDescent="0.35"/>
  <cols>
    <col min="1" max="1" width="7"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35">
      <c r="A2" s="29">
        <v>46174</v>
      </c>
      <c r="B2" t="str">
        <f>TEXT(A2,"TTT")</f>
        <v>Mo</v>
      </c>
      <c r="D2" s="24">
        <v>0.29166666666666669</v>
      </c>
      <c r="E2" s="24">
        <v>0.66666666666666663</v>
      </c>
      <c r="F2" s="24">
        <v>4.1666666666666664E-2</v>
      </c>
      <c r="G2" s="27">
        <f>IF(OR(C2="krank",C2="Urlaub",C2="Sonderurlaub"), H2,IF(D2&lt;=E2,(E2-D2-F2)*24,(1-D2+E2-F2)*24)+IF(C2= "Urlaub halber Tag",H2/2,0)+IF(AND(C2="Urlaub halber Tag", J2="halber Arbeitstag"),H2/2,0))</f>
        <v>7.9999999999999982</v>
      </c>
      <c r="H2" s="27">
        <f ca="1">IF(Q2&lt;&gt;"",Q2,IF(OR(C2="Feiertag",A2&lt;Gesamt!$B$11,A2&gt;Gesamt!$B$13,),0,INDIRECT("N"&amp;WEEKDAY(A2,2)+19)))</f>
        <v>8</v>
      </c>
      <c r="I2" s="27">
        <f ca="1">IF(OR(C2="Überstundenabbau",C2="Urlaub halber Tag",E2&lt;&gt;""),G2-H2,0)</f>
        <v>-1.7763568394002505E-15</v>
      </c>
      <c r="J2" s="7" t="s">
        <v>89</v>
      </c>
      <c r="K2" s="39">
        <v>30</v>
      </c>
      <c r="L2" s="39">
        <v>27.9</v>
      </c>
      <c r="M2" s="25"/>
      <c r="O2" s="35"/>
      <c r="Q2" s="7"/>
    </row>
    <row r="3" spans="1:17" x14ac:dyDescent="0.35">
      <c r="A3" s="29">
        <v>46175</v>
      </c>
      <c r="B3" t="str">
        <f t="shared" ref="B3:B31" si="0">TEXT(A3,"TTT")</f>
        <v>Di</v>
      </c>
      <c r="D3" s="24">
        <v>0.29166666666666669</v>
      </c>
      <c r="E3" s="24">
        <v>0.66666666666666663</v>
      </c>
      <c r="F3" s="24">
        <v>4.1666666666666664E-2</v>
      </c>
      <c r="G3" s="27">
        <f t="shared" ref="G3:G31"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1" ca="1" si="2">IF(OR(C3="Überstundenabbau",C3="Urlaub halber Tag",E3&lt;&gt;""),G3-H3,0)</f>
        <v>-1.7763568394002505E-15</v>
      </c>
      <c r="J3" s="7" t="s">
        <v>89</v>
      </c>
      <c r="K3" s="39">
        <v>30</v>
      </c>
      <c r="L3" s="39">
        <v>27.9</v>
      </c>
      <c r="M3" s="47" t="str">
        <f>Gesamt!A3</f>
        <v>Mirko GASPARIN</v>
      </c>
      <c r="N3" s="47"/>
      <c r="O3" s="35"/>
      <c r="Q3" s="7"/>
    </row>
    <row r="4" spans="1:17" x14ac:dyDescent="0.35">
      <c r="A4" s="29">
        <v>46176</v>
      </c>
      <c r="B4" t="str">
        <f t="shared" si="0"/>
        <v>Mi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89</v>
      </c>
      <c r="K4" s="39">
        <v>30</v>
      </c>
      <c r="L4" s="39">
        <v>27.9</v>
      </c>
      <c r="O4" s="35"/>
      <c r="Q4" s="7"/>
    </row>
    <row r="5" spans="1:17" x14ac:dyDescent="0.35">
      <c r="A5" s="29">
        <v>46177</v>
      </c>
      <c r="B5" t="str">
        <f t="shared" si="0"/>
        <v>Do</v>
      </c>
      <c r="C5" s="2" t="s">
        <v>65</v>
      </c>
      <c r="G5" s="27">
        <f t="shared" si="1"/>
        <v>0</v>
      </c>
      <c r="H5" s="27">
        <f ca="1">IF(Q5&lt;&gt;"",Q5,IF(OR(C5="Feiertag",A5&lt;Gesamt!$B$11,A5&gt;Gesamt!$B$13,),0,INDIRECT("N"&amp;WEEKDAY(A5,2)+19)))</f>
        <v>0</v>
      </c>
      <c r="I5" s="27">
        <f t="shared" si="2"/>
        <v>0</v>
      </c>
      <c r="J5" s="7" t="s">
        <v>89</v>
      </c>
      <c r="K5" s="39"/>
      <c r="L5" s="39"/>
      <c r="M5" s="1" t="s">
        <v>8</v>
      </c>
      <c r="N5" s="27">
        <f ca="1">SUM(I2:I32)</f>
        <v>-3.0198066269804258E-14</v>
      </c>
      <c r="O5" s="35"/>
      <c r="Q5" s="7"/>
    </row>
    <row r="6" spans="1:17" x14ac:dyDescent="0.35">
      <c r="A6" s="29">
        <v>46178</v>
      </c>
      <c r="B6" t="str">
        <f t="shared" si="0"/>
        <v>Fr</v>
      </c>
      <c r="D6" s="24">
        <v>0.29166666666666669</v>
      </c>
      <c r="E6" s="24">
        <v>0.5625</v>
      </c>
      <c r="G6" s="27">
        <f t="shared" si="1"/>
        <v>6.5</v>
      </c>
      <c r="H6" s="27">
        <f ca="1">IF(Q6&lt;&gt;"",Q6,IF(OR(C6="Feiertag",A6&lt;Gesamt!$B$11,A6&gt;Gesamt!$B$13,),0,INDIRECT("N"&amp;WEEKDAY(A6,2)+19)))</f>
        <v>6.5</v>
      </c>
      <c r="I6" s="27">
        <f t="shared" ca="1" si="2"/>
        <v>0</v>
      </c>
      <c r="J6" s="7" t="s">
        <v>89</v>
      </c>
      <c r="K6" s="39">
        <v>30</v>
      </c>
      <c r="L6" s="39">
        <v>27.9</v>
      </c>
      <c r="M6" s="25"/>
      <c r="O6" s="35"/>
      <c r="Q6" s="7"/>
    </row>
    <row r="7" spans="1:17" x14ac:dyDescent="0.35">
      <c r="A7" s="29">
        <v>46179</v>
      </c>
      <c r="B7" t="str">
        <f t="shared" si="0"/>
        <v>Sa</v>
      </c>
      <c r="G7" s="27">
        <f t="shared" si="1"/>
        <v>0</v>
      </c>
      <c r="H7" s="27">
        <f ca="1">IF(Q7&lt;&gt;"",Q7,IF(OR(C7="Feiertag",A7&lt;Gesamt!$B$11,A7&gt;Gesamt!$B$13,),0,INDIRECT("N"&amp;WEEKDAY(A7,2)+19)))</f>
        <v>0</v>
      </c>
      <c r="I7" s="27">
        <f t="shared" si="2"/>
        <v>0</v>
      </c>
      <c r="J7" s="7" t="s">
        <v>89</v>
      </c>
      <c r="K7" s="39">
        <v>30</v>
      </c>
      <c r="L7" s="39">
        <v>27.9</v>
      </c>
      <c r="M7" s="1" t="s">
        <v>59</v>
      </c>
      <c r="N7" s="27">
        <f ca="1">Gesamt!B9+SUM(Gesamt!E2:E7)-SUM(Gesamt!J2:J7)</f>
        <v>-1.6520118606422329E-13</v>
      </c>
      <c r="O7" s="35"/>
      <c r="Q7" s="7"/>
    </row>
    <row r="8" spans="1:17" x14ac:dyDescent="0.35">
      <c r="A8" s="29">
        <v>46180</v>
      </c>
      <c r="B8" t="str">
        <f t="shared" si="0"/>
        <v>So</v>
      </c>
      <c r="G8" s="27">
        <f t="shared" si="1"/>
        <v>0</v>
      </c>
      <c r="H8" s="27">
        <f ca="1">IF(Q8&lt;&gt;"",Q8,IF(OR(C8="Feiertag",A8&lt;Gesamt!$B$11,A8&gt;Gesamt!$B$13,),0,INDIRECT("N"&amp;WEEKDAY(A8,2)+19)))</f>
        <v>0</v>
      </c>
      <c r="I8" s="27">
        <f t="shared" si="2"/>
        <v>0</v>
      </c>
      <c r="J8" s="7" t="s">
        <v>89</v>
      </c>
      <c r="K8" s="39">
        <v>30</v>
      </c>
      <c r="L8" s="39">
        <v>27.9</v>
      </c>
      <c r="M8" s="25"/>
      <c r="O8" s="35"/>
      <c r="Q8" s="7"/>
    </row>
    <row r="9" spans="1:17" x14ac:dyDescent="0.35">
      <c r="A9" s="29">
        <v>46181</v>
      </c>
      <c r="B9" t="str">
        <f t="shared" si="0"/>
        <v>Mo</v>
      </c>
      <c r="D9" s="24">
        <v>0.29166666666666669</v>
      </c>
      <c r="E9" s="24">
        <v>0.66666666666666663</v>
      </c>
      <c r="F9" s="24">
        <v>4.1666666666666664E-2</v>
      </c>
      <c r="G9" s="27">
        <f t="shared" si="1"/>
        <v>7.9999999999999982</v>
      </c>
      <c r="H9" s="27">
        <f ca="1">IF(Q9&lt;&gt;"",Q9,IF(OR(C9="Feiertag",A9&lt;Gesamt!$B$11,A9&gt;Gesamt!$B$13,),0,INDIRECT("N"&amp;WEEKDAY(A9,2)+19)))</f>
        <v>8</v>
      </c>
      <c r="I9" s="27">
        <f t="shared" ca="1" si="2"/>
        <v>-1.7763568394002505E-15</v>
      </c>
      <c r="J9" s="7" t="s">
        <v>89</v>
      </c>
      <c r="K9" s="39">
        <v>30</v>
      </c>
      <c r="L9" s="39">
        <v>27.9</v>
      </c>
      <c r="M9" s="1" t="s">
        <v>25</v>
      </c>
      <c r="N9">
        <f>COUNTIF(C2:C32,"krank")</f>
        <v>0</v>
      </c>
      <c r="O9" s="35"/>
      <c r="Q9" s="7"/>
    </row>
    <row r="10" spans="1:17" x14ac:dyDescent="0.35">
      <c r="A10" s="29">
        <v>46182</v>
      </c>
      <c r="B10" t="str">
        <f t="shared" si="0"/>
        <v>Di</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89</v>
      </c>
      <c r="K10" s="39">
        <v>30</v>
      </c>
      <c r="L10" s="39">
        <v>27.9</v>
      </c>
      <c r="M10" s="25"/>
      <c r="O10" s="35"/>
      <c r="Q10" s="7"/>
    </row>
    <row r="11" spans="1:17" x14ac:dyDescent="0.35">
      <c r="A11" s="29">
        <v>46183</v>
      </c>
      <c r="B11" t="str">
        <f t="shared" si="0"/>
        <v>Mi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89</v>
      </c>
      <c r="K11" s="39">
        <v>30</v>
      </c>
      <c r="L11" s="39">
        <v>27.9</v>
      </c>
      <c r="M11" s="1" t="s">
        <v>57</v>
      </c>
      <c r="N11" s="28">
        <f>SUM(Gesamt!F2:F7)</f>
        <v>0</v>
      </c>
      <c r="O11" s="35"/>
      <c r="Q11" s="7"/>
    </row>
    <row r="12" spans="1:17" x14ac:dyDescent="0.35">
      <c r="A12" s="29">
        <v>46184</v>
      </c>
      <c r="B12" t="str">
        <f t="shared" si="0"/>
        <v>Do</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89</v>
      </c>
      <c r="K12" s="39">
        <v>30</v>
      </c>
      <c r="L12" s="39">
        <v>27.9</v>
      </c>
      <c r="M12" s="25"/>
      <c r="O12" s="35"/>
      <c r="Q12" s="7"/>
    </row>
    <row r="13" spans="1:17" x14ac:dyDescent="0.35">
      <c r="A13" s="29">
        <v>46185</v>
      </c>
      <c r="B13" t="str">
        <f t="shared" si="0"/>
        <v>Fr</v>
      </c>
      <c r="D13" s="24">
        <v>0.29166666666666669</v>
      </c>
      <c r="E13" s="24">
        <v>0.5625</v>
      </c>
      <c r="G13" s="27">
        <f t="shared" si="1"/>
        <v>6.5</v>
      </c>
      <c r="H13" s="27">
        <f ca="1">IF(Q13&lt;&gt;"",Q13,IF(OR(C13="Feiertag",A13&lt;Gesamt!$B$11,A13&gt;Gesamt!$B$13,),0,INDIRECT("N"&amp;WEEKDAY(A13,2)+19)))</f>
        <v>6.5</v>
      </c>
      <c r="I13" s="27">
        <f t="shared" ca="1" si="2"/>
        <v>0</v>
      </c>
      <c r="J13" s="7" t="s">
        <v>89</v>
      </c>
      <c r="K13" s="39">
        <v>30</v>
      </c>
      <c r="L13" s="39">
        <v>27.9</v>
      </c>
      <c r="M13" s="1" t="s">
        <v>26</v>
      </c>
      <c r="N13">
        <f>COUNTIF(C2:C32, "Urlaub")+COUNTIF(C2:C32,"Urlaub halber Tag")/2</f>
        <v>0</v>
      </c>
      <c r="O13" s="35"/>
      <c r="Q13" s="7"/>
    </row>
    <row r="14" spans="1:17" x14ac:dyDescent="0.35">
      <c r="A14" s="29">
        <v>46186</v>
      </c>
      <c r="B14" t="str">
        <f t="shared" si="0"/>
        <v>Sa</v>
      </c>
      <c r="G14" s="27">
        <f t="shared" si="1"/>
        <v>0</v>
      </c>
      <c r="H14" s="27">
        <f ca="1">IF(Q14&lt;&gt;"",Q14,IF(OR(C14="Feiertag",A14&lt;Gesamt!$B$11,A14&gt;Gesamt!$B$13,),0,INDIRECT("N"&amp;WEEKDAY(A14,2)+19)))</f>
        <v>0</v>
      </c>
      <c r="I14" s="27">
        <f t="shared" si="2"/>
        <v>0</v>
      </c>
      <c r="J14" s="7" t="s">
        <v>89</v>
      </c>
      <c r="K14" s="39">
        <v>30</v>
      </c>
      <c r="L14" s="39">
        <v>27.9</v>
      </c>
      <c r="M14" s="25"/>
      <c r="O14" s="35"/>
      <c r="Q14" s="7"/>
    </row>
    <row r="15" spans="1:17" x14ac:dyDescent="0.35">
      <c r="A15" s="29">
        <v>46187</v>
      </c>
      <c r="B15" t="str">
        <f t="shared" si="0"/>
        <v>So</v>
      </c>
      <c r="G15" s="27">
        <f t="shared" si="1"/>
        <v>0</v>
      </c>
      <c r="H15" s="27">
        <f ca="1">IF(Q15&lt;&gt;"",Q15,IF(OR(C15="Feiertag",A15&lt;Gesamt!$B$11,A15&gt;Gesamt!$B$13,),0,INDIRECT("N"&amp;WEEKDAY(A15,2)+19)))</f>
        <v>0</v>
      </c>
      <c r="I15" s="27">
        <f t="shared" si="2"/>
        <v>0</v>
      </c>
      <c r="J15" s="7" t="s">
        <v>89</v>
      </c>
      <c r="K15" s="39">
        <v>30</v>
      </c>
      <c r="L15" s="39">
        <v>27.9</v>
      </c>
      <c r="M15" s="1" t="s">
        <v>58</v>
      </c>
      <c r="N15">
        <f>Gesamt!B5+Gesamt!B7-SUM(Gesamt!G2:G7)</f>
        <v>24</v>
      </c>
      <c r="O15" s="35"/>
      <c r="Q15" s="7"/>
    </row>
    <row r="16" spans="1:17" x14ac:dyDescent="0.35">
      <c r="A16" s="29">
        <v>46188</v>
      </c>
      <c r="B16" t="str">
        <f t="shared" si="0"/>
        <v>Mo</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89</v>
      </c>
      <c r="K16" s="39">
        <v>30</v>
      </c>
      <c r="L16" s="39">
        <v>27.9</v>
      </c>
      <c r="O16" s="35"/>
      <c r="Q16" s="7"/>
    </row>
    <row r="17" spans="1:17" x14ac:dyDescent="0.35">
      <c r="A17" s="29">
        <v>46189</v>
      </c>
      <c r="B17" t="str">
        <f t="shared" si="0"/>
        <v>Di</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89</v>
      </c>
      <c r="K17" s="39">
        <v>30</v>
      </c>
      <c r="L17" s="39">
        <v>27.9</v>
      </c>
      <c r="M17" s="1" t="s">
        <v>50</v>
      </c>
      <c r="N17" s="27">
        <f>SUM(G2:G32)</f>
        <v>162</v>
      </c>
      <c r="O17" s="35"/>
      <c r="Q17" s="7"/>
    </row>
    <row r="18" spans="1:17" x14ac:dyDescent="0.35">
      <c r="A18" s="29">
        <v>46190</v>
      </c>
      <c r="B18" t="str">
        <f t="shared" si="0"/>
        <v>Mi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89</v>
      </c>
      <c r="K18" s="39">
        <v>30</v>
      </c>
      <c r="L18" s="39">
        <v>27.9</v>
      </c>
      <c r="O18" s="35"/>
      <c r="Q18" s="7"/>
    </row>
    <row r="19" spans="1:17" x14ac:dyDescent="0.35">
      <c r="A19" s="29">
        <v>46191</v>
      </c>
      <c r="B19" t="str">
        <f t="shared" si="0"/>
        <v>Do</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89</v>
      </c>
      <c r="K19" s="39">
        <v>30</v>
      </c>
      <c r="L19" s="39">
        <v>27.9</v>
      </c>
      <c r="M19" s="13" t="s">
        <v>6</v>
      </c>
      <c r="O19" s="35"/>
      <c r="Q19" s="7"/>
    </row>
    <row r="20" spans="1:17" x14ac:dyDescent="0.35">
      <c r="A20" s="29">
        <v>46192</v>
      </c>
      <c r="B20" t="str">
        <f t="shared" si="0"/>
        <v>Fr</v>
      </c>
      <c r="D20" s="24">
        <v>0.29166666666666669</v>
      </c>
      <c r="E20" s="24">
        <v>0.5625</v>
      </c>
      <c r="G20" s="27">
        <f t="shared" si="1"/>
        <v>6.5</v>
      </c>
      <c r="H20" s="27">
        <f ca="1">IF(Q20&lt;&gt;"",Q20,IF(OR(C20="Feiertag",A20&lt;Gesamt!$B$11,A20&gt;Gesamt!$B$13,),0,INDIRECT("N"&amp;WEEKDAY(A20,2)+19)))</f>
        <v>6.5</v>
      </c>
      <c r="I20" s="27">
        <f t="shared" ca="1" si="2"/>
        <v>0</v>
      </c>
      <c r="J20" s="7" t="s">
        <v>89</v>
      </c>
      <c r="K20" s="39">
        <v>30</v>
      </c>
      <c r="L20" s="39">
        <v>27.9</v>
      </c>
      <c r="M20" s="6" t="s">
        <v>43</v>
      </c>
      <c r="N20" s="7">
        <f>Gesamt!C30</f>
        <v>8</v>
      </c>
      <c r="O20" s="35"/>
      <c r="Q20" s="7"/>
    </row>
    <row r="21" spans="1:17" x14ac:dyDescent="0.35">
      <c r="A21" s="29">
        <v>46193</v>
      </c>
      <c r="B21" t="str">
        <f t="shared" si="0"/>
        <v>Sa</v>
      </c>
      <c r="G21" s="27">
        <f t="shared" si="1"/>
        <v>0</v>
      </c>
      <c r="H21" s="27">
        <f ca="1">IF(Q21&lt;&gt;"",Q21,IF(OR(C21="Feiertag",A21&lt;Gesamt!$B$11,A21&gt;Gesamt!$B$13,),0,INDIRECT("N"&amp;WEEKDAY(A21,2)+19)))</f>
        <v>0</v>
      </c>
      <c r="I21" s="27">
        <f t="shared" si="2"/>
        <v>0</v>
      </c>
      <c r="J21" s="7" t="s">
        <v>89</v>
      </c>
      <c r="K21" s="39">
        <v>30</v>
      </c>
      <c r="L21" s="39">
        <v>27.9</v>
      </c>
      <c r="M21" s="6" t="s">
        <v>44</v>
      </c>
      <c r="N21" s="7">
        <f>Gesamt!C31</f>
        <v>8</v>
      </c>
      <c r="O21" s="35"/>
      <c r="Q21" s="7"/>
    </row>
    <row r="22" spans="1:17" x14ac:dyDescent="0.35">
      <c r="A22" s="29">
        <v>46194</v>
      </c>
      <c r="B22" t="str">
        <f t="shared" si="0"/>
        <v>So</v>
      </c>
      <c r="G22" s="27">
        <f t="shared" si="1"/>
        <v>0</v>
      </c>
      <c r="H22" s="27">
        <f ca="1">IF(Q22&lt;&gt;"",Q22,IF(OR(C22="Feiertag",A22&lt;Gesamt!$B$11,A22&gt;Gesamt!$B$13,),0,INDIRECT("N"&amp;WEEKDAY(A22,2)+19)))</f>
        <v>0</v>
      </c>
      <c r="I22" s="27">
        <f t="shared" si="2"/>
        <v>0</v>
      </c>
      <c r="J22" s="7" t="s">
        <v>89</v>
      </c>
      <c r="K22" s="39">
        <v>30</v>
      </c>
      <c r="L22" s="39">
        <v>27.9</v>
      </c>
      <c r="M22" s="6" t="s">
        <v>45</v>
      </c>
      <c r="N22" s="7">
        <f>Gesamt!C32</f>
        <v>8</v>
      </c>
      <c r="O22" s="35"/>
      <c r="Q22" s="7"/>
    </row>
    <row r="23" spans="1:17" x14ac:dyDescent="0.35">
      <c r="A23" s="29">
        <v>46195</v>
      </c>
      <c r="B23" t="str">
        <f t="shared" si="0"/>
        <v>Mo</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89</v>
      </c>
      <c r="K23" s="39">
        <v>30</v>
      </c>
      <c r="L23" s="39">
        <v>27.9</v>
      </c>
      <c r="M23" s="6" t="s">
        <v>46</v>
      </c>
      <c r="N23" s="7">
        <f>Gesamt!C33</f>
        <v>8</v>
      </c>
      <c r="O23" s="35"/>
      <c r="Q23" s="7"/>
    </row>
    <row r="24" spans="1:17" x14ac:dyDescent="0.35">
      <c r="A24" s="29">
        <v>46196</v>
      </c>
      <c r="B24" t="str">
        <f t="shared" si="0"/>
        <v>Di</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89</v>
      </c>
      <c r="K24" s="39">
        <v>30</v>
      </c>
      <c r="L24" s="39">
        <v>27.9</v>
      </c>
      <c r="M24" s="6" t="s">
        <v>47</v>
      </c>
      <c r="N24" s="7">
        <f>Gesamt!C34</f>
        <v>6.5</v>
      </c>
      <c r="O24" s="35"/>
      <c r="Q24" s="7"/>
    </row>
    <row r="25" spans="1:17" x14ac:dyDescent="0.35">
      <c r="A25" s="29">
        <v>46197</v>
      </c>
      <c r="B25" t="str">
        <f t="shared" si="0"/>
        <v>Mi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89</v>
      </c>
      <c r="K25" s="39">
        <v>30</v>
      </c>
      <c r="L25" s="39">
        <v>27.9</v>
      </c>
      <c r="M25" s="6" t="s">
        <v>48</v>
      </c>
      <c r="N25" s="7">
        <f>Gesamt!C35</f>
        <v>0</v>
      </c>
      <c r="O25" s="35"/>
      <c r="Q25" s="7"/>
    </row>
    <row r="26" spans="1:17" x14ac:dyDescent="0.35">
      <c r="A26" s="29">
        <v>46198</v>
      </c>
      <c r="B26" t="str">
        <f t="shared" si="0"/>
        <v>Do</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89</v>
      </c>
      <c r="K26" s="39">
        <v>30</v>
      </c>
      <c r="L26" s="39">
        <v>27.9</v>
      </c>
      <c r="M26" s="6" t="s">
        <v>49</v>
      </c>
      <c r="N26" s="7">
        <f>Gesamt!C36</f>
        <v>0</v>
      </c>
      <c r="O26" s="35"/>
      <c r="Q26" s="7"/>
    </row>
    <row r="27" spans="1:17" x14ac:dyDescent="0.35">
      <c r="A27" s="29">
        <v>46199</v>
      </c>
      <c r="B27" t="str">
        <f t="shared" si="0"/>
        <v>Fr</v>
      </c>
      <c r="D27" s="24">
        <v>0.29166666666666669</v>
      </c>
      <c r="E27" s="24">
        <v>0.5625</v>
      </c>
      <c r="G27" s="27">
        <f t="shared" si="1"/>
        <v>6.5</v>
      </c>
      <c r="H27" s="27">
        <f ca="1">IF(Q27&lt;&gt;"",Q27,IF(OR(C27="Feiertag",A27&lt;Gesamt!$B$11,A27&gt;Gesamt!$B$13,),0,INDIRECT("N"&amp;WEEKDAY(A27,2)+19)))</f>
        <v>6.5</v>
      </c>
      <c r="I27" s="27">
        <f t="shared" ca="1" si="2"/>
        <v>0</v>
      </c>
      <c r="J27" s="7" t="s">
        <v>89</v>
      </c>
      <c r="K27" s="39">
        <v>30</v>
      </c>
      <c r="L27" s="39">
        <v>27.9</v>
      </c>
      <c r="M27" s="13" t="s">
        <v>54</v>
      </c>
      <c r="N27" s="27">
        <f>SUM(N20:N26)</f>
        <v>38.5</v>
      </c>
      <c r="O27" s="35"/>
      <c r="Q27" s="7"/>
    </row>
    <row r="28" spans="1:17" x14ac:dyDescent="0.35">
      <c r="A28" s="29">
        <v>46200</v>
      </c>
      <c r="B28" t="str">
        <f t="shared" si="0"/>
        <v>Sa</v>
      </c>
      <c r="G28" s="27">
        <f t="shared" si="1"/>
        <v>0</v>
      </c>
      <c r="H28" s="27">
        <f ca="1">IF(Q28&lt;&gt;"",Q28,IF(OR(C28="Feiertag",A28&lt;Gesamt!$B$11,A28&gt;Gesamt!$B$13,),0,INDIRECT("N"&amp;WEEKDAY(A28,2)+19)))</f>
        <v>0</v>
      </c>
      <c r="I28" s="27">
        <f t="shared" si="2"/>
        <v>0</v>
      </c>
      <c r="J28" s="7" t="s">
        <v>89</v>
      </c>
      <c r="K28" s="39">
        <v>30</v>
      </c>
      <c r="L28" s="39">
        <v>27.9</v>
      </c>
      <c r="O28" s="35"/>
      <c r="Q28" s="7"/>
    </row>
    <row r="29" spans="1:17" x14ac:dyDescent="0.35">
      <c r="A29" s="29">
        <v>46201</v>
      </c>
      <c r="B29" t="str">
        <f t="shared" si="0"/>
        <v>So</v>
      </c>
      <c r="G29" s="27">
        <f t="shared" si="1"/>
        <v>0</v>
      </c>
      <c r="H29" s="27">
        <f ca="1">IF(Q29&lt;&gt;"",Q29,IF(OR(C29="Feiertag",A29&lt;Gesamt!$B$11,A29&gt;Gesamt!$B$13,),0,INDIRECT("N"&amp;WEEKDAY(A29,2)+19)))</f>
        <v>0</v>
      </c>
      <c r="I29" s="27">
        <f t="shared" si="2"/>
        <v>0</v>
      </c>
      <c r="J29" s="7" t="s">
        <v>89</v>
      </c>
      <c r="K29" s="39">
        <v>30</v>
      </c>
      <c r="L29" s="39">
        <v>27.9</v>
      </c>
      <c r="M29" s="46" t="s">
        <v>90</v>
      </c>
      <c r="O29" s="35"/>
      <c r="Q29" s="7"/>
    </row>
    <row r="30" spans="1:17" x14ac:dyDescent="0.35">
      <c r="A30" s="29">
        <v>46202</v>
      </c>
      <c r="B30" t="str">
        <f t="shared" si="0"/>
        <v>Mo</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89</v>
      </c>
      <c r="K30" s="39">
        <v>30</v>
      </c>
      <c r="L30" s="39">
        <v>27.9</v>
      </c>
      <c r="M30" s="46" t="s">
        <v>91</v>
      </c>
      <c r="O30" s="35"/>
      <c r="Q30" s="7"/>
    </row>
    <row r="31" spans="1:17" x14ac:dyDescent="0.35">
      <c r="A31" s="29">
        <v>46203</v>
      </c>
      <c r="B31" t="str">
        <f t="shared" si="0"/>
        <v>Di</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89</v>
      </c>
      <c r="K31" s="39">
        <v>30</v>
      </c>
      <c r="L31" s="39">
        <v>27.9</v>
      </c>
      <c r="O31" s="35"/>
      <c r="Q31" s="7"/>
    </row>
    <row r="32" spans="1:17" x14ac:dyDescent="0.35">
      <c r="A32" s="23"/>
      <c r="H32" s="7"/>
      <c r="I32" s="7"/>
      <c r="J32" s="7"/>
      <c r="K32" s="39"/>
      <c r="L32" s="39"/>
      <c r="Q32" s="7"/>
    </row>
    <row r="33" spans="10:12" x14ac:dyDescent="0.35">
      <c r="J33" s="2" t="s">
        <v>68</v>
      </c>
      <c r="K33" s="39">
        <f>SUM(K2:K32)</f>
        <v>870</v>
      </c>
      <c r="L33" s="39">
        <f>SUM(L2:L32)</f>
        <v>809.09999999999957</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C4 J3:J31">
    <cfRule type="expression" dxfId="19" priority="15">
      <formula>$C2="Feiertag"</formula>
    </cfRule>
    <cfRule type="expression" dxfId="18" priority="18">
      <formula>WEEKDAY($A2,2)&gt;=6</formula>
    </cfRule>
  </conditionalFormatting>
  <conditionalFormatting sqref="A5:I31">
    <cfRule type="expression" dxfId="17" priority="1">
      <formula>$C5="Feiertag"</formula>
    </cfRule>
    <cfRule type="expression" dxfId="16" priority="2">
      <formula>WEEKDAY($A5,2)&gt;=6</formula>
    </cfRule>
  </conditionalFormatting>
  <conditionalFormatting sqref="D3:I4">
    <cfRule type="expression" dxfId="15" priority="3">
      <formula>$C3="Feiertag"</formula>
    </cfRule>
    <cfRule type="expression" dxfId="14" priority="4">
      <formula>WEEKDAY($A3,2)&gt;=6</formula>
    </cfRule>
  </conditionalFormatting>
  <conditionalFormatting sqref="D2:J2">
    <cfRule type="expression" dxfId="13" priority="5">
      <formula>$C2="Feiertag"</formula>
    </cfRule>
    <cfRule type="expression" dxfId="12" priority="6">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C36" sqref="C36"/>
    </sheetView>
  </sheetViews>
  <sheetFormatPr baseColWidth="10" defaultColWidth="11.453125" defaultRowHeight="14.5" x14ac:dyDescent="0.35"/>
  <cols>
    <col min="1" max="1" width="6.816406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35">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5">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7" t="str">
        <f>Gesamt!A3</f>
        <v>Mirko GASPARIN</v>
      </c>
      <c r="N3" s="47"/>
      <c r="O3" s="35"/>
      <c r="Q3" s="7"/>
    </row>
    <row r="4" spans="1:17" x14ac:dyDescent="0.35">
      <c r="A4" s="29">
        <v>46206</v>
      </c>
      <c r="B4" t="str">
        <f t="shared" si="0"/>
        <v>Fr</v>
      </c>
      <c r="G4" s="27">
        <f t="shared" si="1"/>
        <v>0</v>
      </c>
      <c r="H4" s="27">
        <f ca="1">IF(Q4&lt;&gt;"",Q4,IF(OR(C4="Feiertag",A4&lt;Gesamt!$B$11,A4&gt;Gesamt!$B$13,),0,INDIRECT("N"&amp;WEEKDAY(A4,2)+19)))</f>
        <v>6.5</v>
      </c>
      <c r="I4" s="27">
        <f t="shared" si="2"/>
        <v>0</v>
      </c>
      <c r="J4" s="7"/>
      <c r="K4" s="39"/>
      <c r="L4" s="39"/>
      <c r="O4" s="35"/>
      <c r="Q4" s="7"/>
    </row>
    <row r="5" spans="1:17" x14ac:dyDescent="0.35">
      <c r="A5" s="29">
        <v>46207</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5">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35">
      <c r="A7" s="29">
        <v>46209</v>
      </c>
      <c r="B7" t="str">
        <f t="shared" si="0"/>
        <v>Mo</v>
      </c>
      <c r="G7" s="27">
        <f t="shared" si="1"/>
        <v>0</v>
      </c>
      <c r="H7" s="27">
        <f ca="1">IF(Q7&lt;&gt;"",Q7,IF(OR(C7="Feiertag",A7&lt;Gesamt!$B$11,A7&gt;Gesamt!$B$13,),0,INDIRECT("N"&amp;WEEKDAY(A7,2)+19)))</f>
        <v>8</v>
      </c>
      <c r="I7" s="27">
        <f t="shared" si="2"/>
        <v>0</v>
      </c>
      <c r="J7" s="7"/>
      <c r="K7" s="39"/>
      <c r="L7" s="39"/>
      <c r="M7" s="1" t="s">
        <v>59</v>
      </c>
      <c r="N7" s="27">
        <f ca="1">Gesamt!B9+SUM(Gesamt!E2:E8)-SUM(Gesamt!J2:J8)</f>
        <v>-1.6520118606422329E-13</v>
      </c>
      <c r="O7" s="35"/>
      <c r="Q7" s="7"/>
    </row>
    <row r="8" spans="1:17" x14ac:dyDescent="0.35">
      <c r="A8" s="29">
        <v>46210</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35">
      <c r="A9" s="29">
        <v>46211</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35">
      <c r="A10" s="29">
        <v>46212</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35">
      <c r="A11" s="29">
        <v>46213</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SUM(Gesamt!F2:F8)</f>
        <v>0</v>
      </c>
      <c r="O11" s="35"/>
      <c r="Q11" s="7"/>
    </row>
    <row r="12" spans="1:17" x14ac:dyDescent="0.35">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46216</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35">
      <c r="A15" s="29">
        <v>46217</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Gesamt!B5+Gesamt!B7-SUM(Gesamt!G2:G8)</f>
        <v>24</v>
      </c>
      <c r="O15" s="35"/>
      <c r="Q15" s="7"/>
    </row>
    <row r="16" spans="1:17" x14ac:dyDescent="0.35">
      <c r="A16" s="29">
        <v>46218</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35">
      <c r="A17" s="29">
        <v>46219</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5">
      <c r="A18" s="29">
        <v>46220</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35">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46223</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35">
      <c r="A22" s="29">
        <v>46224</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5">
      <c r="A23" s="29">
        <v>46225</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5">
      <c r="A24" s="29">
        <v>46226</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5">
      <c r="A25" s="29">
        <v>46227</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35">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46230</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35">
      <c r="A29" s="29">
        <v>46231</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35">
      <c r="A30" s="29">
        <v>46232</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35">
      <c r="A31" s="29">
        <v>46233</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35">
      <c r="A32" s="29">
        <v>46234</v>
      </c>
      <c r="B32" t="str">
        <f t="shared" si="0"/>
        <v>Fr</v>
      </c>
      <c r="G32" s="27">
        <f t="shared" si="1"/>
        <v>0</v>
      </c>
      <c r="H32" s="27">
        <f ca="1">IF(Q32&lt;&gt;"",Q32,IF(OR(C32="Feiertag",A32&lt;Gesamt!$B$11,A32&gt;Gesamt!$B$13,),0,INDIRECT("N"&amp;WEEKDAY(A32,2)+19)))</f>
        <v>6.5</v>
      </c>
      <c r="I32" s="27">
        <f t="shared" si="2"/>
        <v>0</v>
      </c>
      <c r="J32" s="7"/>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36" sqref="C36"/>
    </sheetView>
  </sheetViews>
  <sheetFormatPr baseColWidth="10" defaultColWidth="11.453125" defaultRowHeight="14.5" x14ac:dyDescent="0.35"/>
  <cols>
    <col min="1" max="1" width="7.453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35">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7" t="str">
        <f>Gesamt!A3</f>
        <v>Mirko GASPARIN</v>
      </c>
      <c r="N3" s="47"/>
      <c r="O3" s="35"/>
      <c r="Q3" s="7"/>
    </row>
    <row r="4" spans="1:17" x14ac:dyDescent="0.35">
      <c r="A4" s="29">
        <v>46237</v>
      </c>
      <c r="B4" t="str">
        <f t="shared" si="0"/>
        <v>Mo</v>
      </c>
      <c r="G4" s="27">
        <f t="shared" si="1"/>
        <v>0</v>
      </c>
      <c r="H4" s="27">
        <f ca="1">IF(Q4&lt;&gt;"",Q4,IF(OR(C4="Feiertag",A4&lt;Gesamt!$B$11,A4&gt;Gesamt!$B$13,),0,INDIRECT("N"&amp;WEEKDAY(A4,2)+19)))</f>
        <v>8</v>
      </c>
      <c r="I4" s="27">
        <f t="shared" si="2"/>
        <v>0</v>
      </c>
      <c r="J4" s="7"/>
      <c r="K4" s="39"/>
      <c r="L4" s="39"/>
      <c r="O4" s="35"/>
      <c r="Q4" s="7"/>
    </row>
    <row r="5" spans="1:17" x14ac:dyDescent="0.35">
      <c r="A5" s="29">
        <v>46238</v>
      </c>
      <c r="B5" t="str">
        <f t="shared" si="0"/>
        <v>Di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35">
      <c r="A6" s="29">
        <v>46239</v>
      </c>
      <c r="B6" t="str">
        <f t="shared" si="0"/>
        <v>Mi</v>
      </c>
      <c r="G6" s="27">
        <f t="shared" si="1"/>
        <v>0</v>
      </c>
      <c r="H6" s="27">
        <f ca="1">IF(Q6&lt;&gt;"",Q6,IF(OR(C6="Feiertag",A6&lt;Gesamt!$B$11,A6&gt;Gesamt!$B$13,),0,INDIRECT("N"&amp;WEEKDAY(A6,2)+19)))</f>
        <v>8</v>
      </c>
      <c r="I6" s="27">
        <f t="shared" si="2"/>
        <v>0</v>
      </c>
      <c r="J6" s="7"/>
      <c r="K6" s="39"/>
      <c r="L6" s="39"/>
      <c r="M6" s="25"/>
      <c r="O6" s="35"/>
      <c r="Q6" s="7"/>
    </row>
    <row r="7" spans="1:17" x14ac:dyDescent="0.35">
      <c r="A7" s="29">
        <v>46240</v>
      </c>
      <c r="B7" t="str">
        <f t="shared" si="0"/>
        <v>Do</v>
      </c>
      <c r="G7" s="27">
        <f t="shared" si="1"/>
        <v>0</v>
      </c>
      <c r="H7" s="27">
        <f ca="1">IF(Q7&lt;&gt;"",Q7,IF(OR(C7="Feiertag",A7&lt;Gesamt!$B$11,A7&gt;Gesamt!$B$13,),0,INDIRECT("N"&amp;WEEKDAY(A7,2)+19)))</f>
        <v>8</v>
      </c>
      <c r="I7" s="27">
        <f t="shared" si="2"/>
        <v>0</v>
      </c>
      <c r="J7" s="7"/>
      <c r="K7" s="39"/>
      <c r="L7" s="39"/>
      <c r="M7" s="1" t="s">
        <v>59</v>
      </c>
      <c r="N7" s="27">
        <f ca="1">Gesamt!B9+SUM(Gesamt!E2:E9)-SUM(Gesamt!J2:J9)</f>
        <v>-1.6520118606422329E-13</v>
      </c>
      <c r="O7" s="35"/>
      <c r="Q7" s="7"/>
    </row>
    <row r="8" spans="1:17" x14ac:dyDescent="0.35">
      <c r="A8" s="29">
        <v>46241</v>
      </c>
      <c r="B8" t="str">
        <f t="shared" si="0"/>
        <v>Fr</v>
      </c>
      <c r="G8" s="27">
        <f t="shared" si="1"/>
        <v>0</v>
      </c>
      <c r="H8" s="27">
        <f ca="1">IF(Q8&lt;&gt;"",Q8,IF(OR(C8="Feiertag",A8&lt;Gesamt!$B$11,A8&gt;Gesamt!$B$13,),0,INDIRECT("N"&amp;WEEKDAY(A8,2)+19)))</f>
        <v>6.5</v>
      </c>
      <c r="I8" s="27">
        <f t="shared" si="2"/>
        <v>0</v>
      </c>
      <c r="J8" s="7"/>
      <c r="K8" s="39"/>
      <c r="L8" s="39"/>
      <c r="M8" s="25"/>
      <c r="O8" s="35"/>
      <c r="Q8" s="7"/>
    </row>
    <row r="9" spans="1:17" x14ac:dyDescent="0.35">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35">
      <c r="A11" s="29">
        <v>46244</v>
      </c>
      <c r="B11" t="str">
        <f t="shared" si="0"/>
        <v>Mo</v>
      </c>
      <c r="G11" s="27">
        <f t="shared" si="1"/>
        <v>0</v>
      </c>
      <c r="H11" s="27">
        <f ca="1">IF(Q11&lt;&gt;"",Q11,IF(OR(C11="Feiertag",A11&lt;Gesamt!$B$11,A11&gt;Gesamt!$B$13,),0,INDIRECT("N"&amp;WEEKDAY(A11,2)+19)))</f>
        <v>8</v>
      </c>
      <c r="I11" s="27">
        <f t="shared" si="2"/>
        <v>0</v>
      </c>
      <c r="J11" s="7"/>
      <c r="K11" s="39"/>
      <c r="L11" s="39"/>
      <c r="M11" s="1" t="s">
        <v>57</v>
      </c>
      <c r="N11" s="28">
        <f>SUM(Gesamt!F2:F9)</f>
        <v>0</v>
      </c>
      <c r="O11" s="35"/>
      <c r="Q11" s="7"/>
    </row>
    <row r="12" spans="1:17" x14ac:dyDescent="0.35">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x14ac:dyDescent="0.35">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35">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x14ac:dyDescent="0.35">
      <c r="A15" s="29">
        <v>46248</v>
      </c>
      <c r="B15" t="str">
        <f t="shared" si="0"/>
        <v>Fr</v>
      </c>
      <c r="G15" s="27">
        <f t="shared" si="1"/>
        <v>0</v>
      </c>
      <c r="H15" s="27">
        <f ca="1">IF(Q15&lt;&gt;"",Q15,IF(OR(C15="Feiertag",A15&lt;Gesamt!$B$11,A15&gt;Gesamt!$B$13,),0,INDIRECT("N"&amp;WEEKDAY(A15,2)+19)))</f>
        <v>6.5</v>
      </c>
      <c r="I15" s="27">
        <f t="shared" si="2"/>
        <v>0</v>
      </c>
      <c r="J15" s="7"/>
      <c r="K15" s="39"/>
      <c r="L15" s="39"/>
      <c r="M15" s="1" t="s">
        <v>58</v>
      </c>
      <c r="N15">
        <f>Gesamt!B5+Gesamt!B7-SUM(Gesamt!G2:G9)</f>
        <v>24</v>
      </c>
      <c r="O15" s="35"/>
      <c r="Q15" s="7"/>
    </row>
    <row r="16" spans="1:17" x14ac:dyDescent="0.35">
      <c r="A16" s="29">
        <v>46249</v>
      </c>
      <c r="B16" t="str">
        <f t="shared" si="0"/>
        <v>Sa</v>
      </c>
      <c r="G16" s="27">
        <f t="shared" si="1"/>
        <v>0</v>
      </c>
      <c r="H16" s="27">
        <f ca="1">IF(Q16&lt;&gt;"",Q16,IF(OR(C16="Feiertag",A16&lt;Gesamt!$B$11,A16&gt;Gesamt!$B$13,),0,INDIRECT("N"&amp;WEEKDAY(A16,2)+19)))</f>
        <v>0</v>
      </c>
      <c r="I16" s="27">
        <f t="shared" si="2"/>
        <v>0</v>
      </c>
      <c r="J16" s="7"/>
      <c r="K16" s="39"/>
      <c r="L16" s="39"/>
      <c r="O16" s="35"/>
      <c r="Q16" s="7"/>
    </row>
    <row r="17" spans="1:17" x14ac:dyDescent="0.35">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5">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x14ac:dyDescent="0.35">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35">
      <c r="A20" s="29">
        <v>46253</v>
      </c>
      <c r="B20" t="str">
        <f t="shared" si="0"/>
        <v>Mi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35">
      <c r="A21" s="29">
        <v>46254</v>
      </c>
      <c r="B21" t="str">
        <f t="shared" si="0"/>
        <v>Do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35">
      <c r="A22" s="29">
        <v>46255</v>
      </c>
      <c r="B22" t="str">
        <f t="shared" si="0"/>
        <v>Fr</v>
      </c>
      <c r="G22" s="27">
        <f t="shared" si="1"/>
        <v>0</v>
      </c>
      <c r="H22" s="27">
        <f ca="1">IF(Q22&lt;&gt;"",Q22,IF(OR(C22="Feiertag",A22&lt;Gesamt!$B$11,A22&gt;Gesamt!$B$13,),0,INDIRECT("N"&amp;WEEKDAY(A22,2)+19)))</f>
        <v>6.5</v>
      </c>
      <c r="I22" s="27">
        <f t="shared" si="2"/>
        <v>0</v>
      </c>
      <c r="J22" s="7"/>
      <c r="K22" s="39"/>
      <c r="L22" s="39"/>
      <c r="M22" s="6" t="s">
        <v>45</v>
      </c>
      <c r="N22" s="7">
        <f>Gesamt!C32</f>
        <v>8</v>
      </c>
      <c r="O22" s="35"/>
      <c r="Q22" s="7"/>
    </row>
    <row r="23" spans="1:17" x14ac:dyDescent="0.35">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5">
      <c r="A25" s="29">
        <v>46258</v>
      </c>
      <c r="B25" t="str">
        <f t="shared" si="0"/>
        <v>Mo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5">
      <c r="A26" s="29">
        <v>46259</v>
      </c>
      <c r="B26" t="str">
        <f t="shared" si="0"/>
        <v>Di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35">
      <c r="A27" s="29">
        <v>46260</v>
      </c>
      <c r="B27" t="str">
        <f t="shared" si="0"/>
        <v>Mi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35">
      <c r="A28" s="29">
        <v>46261</v>
      </c>
      <c r="B28" t="str">
        <f t="shared" si="0"/>
        <v>Do</v>
      </c>
      <c r="G28" s="27">
        <f t="shared" si="1"/>
        <v>0</v>
      </c>
      <c r="H28" s="27">
        <f ca="1">IF(Q28&lt;&gt;"",Q28,IF(OR(C28="Feiertag",A28&lt;Gesamt!$B$11,A28&gt;Gesamt!$B$13,),0,INDIRECT("N"&amp;WEEKDAY(A28,2)+19)))</f>
        <v>8</v>
      </c>
      <c r="I28" s="27">
        <f t="shared" si="2"/>
        <v>0</v>
      </c>
      <c r="J28" s="7"/>
      <c r="K28" s="39"/>
      <c r="L28" s="39"/>
      <c r="O28" s="35"/>
      <c r="Q28" s="7"/>
    </row>
    <row r="29" spans="1:17" x14ac:dyDescent="0.35">
      <c r="A29" s="29">
        <v>46262</v>
      </c>
      <c r="B29" t="str">
        <f t="shared" si="0"/>
        <v>Fr</v>
      </c>
      <c r="G29" s="27">
        <f t="shared" si="1"/>
        <v>0</v>
      </c>
      <c r="H29" s="27">
        <f ca="1">IF(Q29&lt;&gt;"",Q29,IF(OR(C29="Feiertag",A29&lt;Gesamt!$B$11,A29&gt;Gesamt!$B$13,),0,INDIRECT("N"&amp;WEEKDAY(A29,2)+19)))</f>
        <v>6.5</v>
      </c>
      <c r="I29" s="27">
        <f t="shared" si="2"/>
        <v>0</v>
      </c>
      <c r="J29" s="7"/>
      <c r="K29" s="39"/>
      <c r="L29" s="39"/>
      <c r="O29" s="35"/>
      <c r="Q29" s="7"/>
    </row>
    <row r="30" spans="1:17" x14ac:dyDescent="0.35">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35">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35">
      <c r="A32" s="29">
        <v>46265</v>
      </c>
      <c r="B32" t="str">
        <f t="shared" si="0"/>
        <v>Mo</v>
      </c>
      <c r="G32" s="27">
        <f t="shared" si="1"/>
        <v>0</v>
      </c>
      <c r="H32" s="27">
        <f ca="1">IF(Q32&lt;&gt;"",Q32,IF(OR(C32="Feiertag",A32&lt;Gesamt!$B$11,A32&gt;Gesamt!$B$13,),0,INDIRECT("N"&amp;WEEKDAY(A32,2)+19)))</f>
        <v>8</v>
      </c>
      <c r="I32" s="27">
        <f t="shared" si="2"/>
        <v>0</v>
      </c>
      <c r="J32" s="7"/>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453125" defaultRowHeight="14.5" x14ac:dyDescent="0.3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35">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5">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7" t="str">
        <f>Gesamt!A3</f>
        <v>Mirko GASPARIN</v>
      </c>
      <c r="N3" s="47"/>
      <c r="O3" s="35"/>
      <c r="Q3" s="7"/>
    </row>
    <row r="4" spans="1:17" x14ac:dyDescent="0.35">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35">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35">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35">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-1.6520118606422329E-13</v>
      </c>
      <c r="O7" s="35"/>
      <c r="Q7" s="7"/>
    </row>
    <row r="8" spans="1:17" x14ac:dyDescent="0.35">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35">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35">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35">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0</v>
      </c>
      <c r="O11" s="35"/>
      <c r="Q11" s="7"/>
    </row>
    <row r="12" spans="1:17" x14ac:dyDescent="0.35">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35">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24</v>
      </c>
      <c r="O15" s="35"/>
      <c r="Q15" s="7"/>
    </row>
    <row r="16" spans="1:17" x14ac:dyDescent="0.35">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35">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5">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35">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35">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5">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5">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5">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5">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35">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35">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35">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35">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35">
      <c r="A32" s="23"/>
      <c r="H32" s="7"/>
      <c r="I32" s="7"/>
      <c r="J32" s="7"/>
      <c r="K32" s="39"/>
      <c r="L32" s="39"/>
    </row>
    <row r="33" spans="10:12" x14ac:dyDescent="0.35">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27" sqref="C27"/>
    </sheetView>
  </sheetViews>
  <sheetFormatPr baseColWidth="10" defaultColWidth="11.453125" defaultRowHeight="14.5" x14ac:dyDescent="0.35"/>
  <cols>
    <col min="1" max="1" width="7.179687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35">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5">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7" t="str">
        <f>Gesamt!A3</f>
        <v>Mirko GASPARIN</v>
      </c>
      <c r="N3" s="47"/>
      <c r="O3" s="35"/>
      <c r="Q3" s="7"/>
    </row>
    <row r="4" spans="1:17" x14ac:dyDescent="0.35">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35">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5">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35">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-1.6520118606422329E-13</v>
      </c>
      <c r="O7" s="35"/>
      <c r="Q7" s="7"/>
    </row>
    <row r="8" spans="1:17" x14ac:dyDescent="0.35">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35">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35">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35">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35">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35">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35">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24</v>
      </c>
      <c r="O15" s="35"/>
      <c r="Q15" s="7"/>
    </row>
    <row r="16" spans="1:17" x14ac:dyDescent="0.35">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35">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35">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35">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35">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35">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5">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5">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35">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5">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46321</v>
      </c>
      <c r="B27" t="str">
        <f t="shared" si="0"/>
        <v>Mo</v>
      </c>
      <c r="C27" s="2" t="s">
        <v>65</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35">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35">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35">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35">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36" sqref="C36"/>
    </sheetView>
  </sheetViews>
  <sheetFormatPr baseColWidth="10" defaultColWidth="11.453125" defaultRowHeight="14.5" x14ac:dyDescent="0.35"/>
  <cols>
    <col min="1" max="1" width="7.453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35">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7" t="str">
        <f>Gesamt!A3</f>
        <v>Mirko GASPARIN</v>
      </c>
      <c r="N3" s="47"/>
      <c r="O3" s="35"/>
      <c r="Q3" s="7"/>
    </row>
    <row r="4" spans="1:17" x14ac:dyDescent="0.35">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35">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35">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35">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-1.6520118606422329E-13</v>
      </c>
      <c r="O7" s="35"/>
      <c r="Q7" s="7"/>
    </row>
    <row r="8" spans="1:17" x14ac:dyDescent="0.35">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35">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35">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0</v>
      </c>
      <c r="O11" s="35"/>
      <c r="Q11" s="7"/>
    </row>
    <row r="12" spans="1:17" x14ac:dyDescent="0.35">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35">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35">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35">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24</v>
      </c>
      <c r="O15" s="35"/>
      <c r="Q15" s="7"/>
    </row>
    <row r="16" spans="1:17" x14ac:dyDescent="0.35">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35">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5">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35">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35">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35">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35">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5">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5">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35">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35">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35">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35">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35">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35">
      <c r="A32" s="23"/>
      <c r="H32" s="7"/>
      <c r="I32" s="7"/>
      <c r="J32" s="7"/>
      <c r="K32" s="39"/>
      <c r="L32" s="39"/>
    </row>
    <row r="33" spans="10:12" x14ac:dyDescent="0.35">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26" sqref="C26"/>
    </sheetView>
  </sheetViews>
  <sheetFormatPr baseColWidth="10" defaultColWidth="11.453125" defaultRowHeight="14.5" x14ac:dyDescent="0.35"/>
  <cols>
    <col min="1" max="1" width="7.36328125" style="2" bestFit="1" customWidth="1"/>
    <col min="2" max="2" width="4" style="2"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35">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5">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7" t="str">
        <f>Gesamt!A3</f>
        <v>Mirko GASPARIN</v>
      </c>
      <c r="N3" s="47"/>
      <c r="O3" s="35"/>
      <c r="Q3" s="7"/>
    </row>
    <row r="4" spans="1:17" x14ac:dyDescent="0.35">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35">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35">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35">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-1.6520118606422329E-13</v>
      </c>
      <c r="O7" s="35"/>
      <c r="Q7" s="7"/>
    </row>
    <row r="8" spans="1:17" x14ac:dyDescent="0.35">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35">
      <c r="A9" s="29">
        <v>46364</v>
      </c>
      <c r="B9" t="str">
        <f t="shared" si="0"/>
        <v>Di</v>
      </c>
      <c r="C9" s="2" t="s">
        <v>65</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35">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0</v>
      </c>
      <c r="O11" s="35"/>
      <c r="Q11" s="7"/>
    </row>
    <row r="12" spans="1:17" x14ac:dyDescent="0.35">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35">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24</v>
      </c>
      <c r="O15" s="35"/>
      <c r="Q15" s="7"/>
    </row>
    <row r="16" spans="1:17" x14ac:dyDescent="0.35">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35">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5">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35">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35">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5">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5">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5">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5">
      <c r="A26" s="29">
        <v>46381</v>
      </c>
      <c r="B26" t="str">
        <f t="shared" si="0"/>
        <v>Fr</v>
      </c>
      <c r="C26" s="2" t="s">
        <v>65</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46382</v>
      </c>
      <c r="B27" t="str">
        <f t="shared" si="0"/>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35">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35">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35">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35">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35">
      <c r="A33" s="23"/>
      <c r="K33" s="39"/>
      <c r="L33" s="39"/>
    </row>
    <row r="34" spans="1:12" x14ac:dyDescent="0.35">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 priority="1">
      <formula>$C2="Feiertag"</formula>
    </cfRule>
    <cfRule type="expression" dxfId="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A3" sqref="A3:B3"/>
    </sheetView>
  </sheetViews>
  <sheetFormatPr baseColWidth="10" defaultColWidth="11.453125" defaultRowHeight="14.5" x14ac:dyDescent="0.35"/>
  <cols>
    <col min="1" max="1" width="24.453125" style="2" bestFit="1" customWidth="1"/>
    <col min="2" max="2" width="11.453125" style="2" customWidth="1"/>
    <col min="3" max="3" width="11.453125" style="2"/>
    <col min="4" max="4" width="18" style="2" bestFit="1" customWidth="1"/>
    <col min="5" max="5" width="13.1796875" style="2" bestFit="1" customWidth="1"/>
    <col min="6" max="9" width="11.453125" style="2"/>
    <col min="10" max="10" width="22.81640625" style="2" bestFit="1" customWidth="1"/>
    <col min="11" max="11" width="11.453125" style="2"/>
    <col min="12" max="12" width="11.453125" style="2" customWidth="1"/>
    <col min="13" max="25" width="11.453125" style="2"/>
    <col min="26" max="26" width="7.453125" style="2" hidden="1" customWidth="1"/>
    <col min="27" max="16384" width="11.453125" style="2"/>
  </cols>
  <sheetData>
    <row r="1" spans="1:26" x14ac:dyDescent="0.35">
      <c r="A1" s="12" t="s">
        <v>41</v>
      </c>
      <c r="B1" s="11"/>
      <c r="E1" s="13" t="s">
        <v>24</v>
      </c>
      <c r="F1" s="13" t="s">
        <v>21</v>
      </c>
      <c r="G1" s="13" t="s">
        <v>22</v>
      </c>
      <c r="H1" s="12" t="s">
        <v>5</v>
      </c>
      <c r="I1" s="10"/>
      <c r="J1" s="3" t="s">
        <v>61</v>
      </c>
      <c r="Z1" s="2" t="b">
        <v>1</v>
      </c>
    </row>
    <row r="2" spans="1:26" x14ac:dyDescent="0.35">
      <c r="D2" s="6" t="s">
        <v>9</v>
      </c>
      <c r="E2" s="7">
        <f ca="1">Januar!N5</f>
        <v>-1.9539925233402755E-14</v>
      </c>
      <c r="F2" s="8">
        <f>Januar!N9</f>
        <v>0</v>
      </c>
      <c r="G2" s="2">
        <f>Januar!N13</f>
        <v>0</v>
      </c>
      <c r="H2" s="7">
        <f>Januar!N17</f>
        <v>107.5</v>
      </c>
      <c r="I2" s="7"/>
      <c r="J2" s="7">
        <v>0</v>
      </c>
      <c r="Z2" s="2" t="b">
        <v>1</v>
      </c>
    </row>
    <row r="3" spans="1:26" ht="15" customHeight="1" x14ac:dyDescent="0.35">
      <c r="A3" s="48" t="s">
        <v>84</v>
      </c>
      <c r="B3" s="48"/>
      <c r="D3" s="6" t="s">
        <v>10</v>
      </c>
      <c r="E3" s="7">
        <f ca="1">Februar!N5</f>
        <v>-2.8421709430404007E-14</v>
      </c>
      <c r="F3" s="8">
        <f>Februar!N9</f>
        <v>0</v>
      </c>
      <c r="G3" s="2">
        <f>Februar!N13</f>
        <v>0</v>
      </c>
      <c r="H3" s="7">
        <f>Februar!N17</f>
        <v>153.99999999999997</v>
      </c>
      <c r="I3" s="7"/>
      <c r="J3" s="7">
        <v>0</v>
      </c>
      <c r="Z3" s="2" t="b">
        <v>1</v>
      </c>
    </row>
    <row r="4" spans="1:26" x14ac:dyDescent="0.35">
      <c r="D4" s="6" t="s">
        <v>11</v>
      </c>
      <c r="E4" s="7">
        <f ca="1">März!N5</f>
        <v>-3.1974423109204508E-14</v>
      </c>
      <c r="F4" s="8">
        <f>März!N9</f>
        <v>0</v>
      </c>
      <c r="G4" s="2">
        <f>März!N13</f>
        <v>0</v>
      </c>
      <c r="H4" s="7">
        <f>März!N17</f>
        <v>169.99999999999997</v>
      </c>
      <c r="I4" s="7"/>
      <c r="J4" s="7">
        <v>0</v>
      </c>
      <c r="Z4" s="2" t="b">
        <v>1</v>
      </c>
    </row>
    <row r="5" spans="1:26" x14ac:dyDescent="0.35">
      <c r="A5" s="1" t="s">
        <v>28</v>
      </c>
      <c r="B5" s="2">
        <v>24</v>
      </c>
      <c r="D5" s="6" t="s">
        <v>12</v>
      </c>
      <c r="E5" s="7">
        <f ca="1">April!N5</f>
        <v>-3.0198066269804258E-14</v>
      </c>
      <c r="F5" s="8">
        <f>April!N9</f>
        <v>0</v>
      </c>
      <c r="G5" s="2">
        <f>April!N13</f>
        <v>0</v>
      </c>
      <c r="H5" s="7">
        <f>April!N17</f>
        <v>162</v>
      </c>
      <c r="I5" s="7"/>
      <c r="J5" s="7">
        <v>0</v>
      </c>
      <c r="Z5" s="2" t="b">
        <v>1</v>
      </c>
    </row>
    <row r="6" spans="1:26" x14ac:dyDescent="0.35">
      <c r="D6" s="6" t="s">
        <v>13</v>
      </c>
      <c r="E6" s="7">
        <f ca="1">Mai!N5</f>
        <v>-2.4868995751603507E-14</v>
      </c>
      <c r="F6" s="8">
        <f>Mai!N9</f>
        <v>0</v>
      </c>
      <c r="G6" s="2">
        <f>Mai!N13</f>
        <v>0</v>
      </c>
      <c r="H6" s="7">
        <f>Mai!N17</f>
        <v>138</v>
      </c>
      <c r="I6" s="7"/>
      <c r="J6" s="7">
        <v>0</v>
      </c>
      <c r="Z6" s="2" t="b">
        <v>0</v>
      </c>
    </row>
    <row r="7" spans="1:26" x14ac:dyDescent="0.35">
      <c r="A7" s="1" t="s">
        <v>30</v>
      </c>
      <c r="B7" s="2">
        <v>0</v>
      </c>
      <c r="D7" s="6" t="s">
        <v>14</v>
      </c>
      <c r="E7" s="7">
        <f ca="1">Juni!N5</f>
        <v>-3.0198066269804258E-14</v>
      </c>
      <c r="F7" s="8">
        <f>Juni!N9</f>
        <v>0</v>
      </c>
      <c r="G7" s="2">
        <f>Juni!N13</f>
        <v>0</v>
      </c>
      <c r="H7" s="7">
        <f>Juni!N17</f>
        <v>162</v>
      </c>
      <c r="I7" s="7"/>
      <c r="J7" s="7">
        <v>0</v>
      </c>
      <c r="Z7" s="2" t="b">
        <v>0</v>
      </c>
    </row>
    <row r="8" spans="1:26" x14ac:dyDescent="0.35">
      <c r="D8" s="6" t="s">
        <v>15</v>
      </c>
      <c r="E8" s="7">
        <f>Juli!N5</f>
        <v>0</v>
      </c>
      <c r="F8" s="8">
        <f>Juli!N9</f>
        <v>0</v>
      </c>
      <c r="G8" s="2">
        <f>Juli!N13</f>
        <v>0</v>
      </c>
      <c r="H8" s="7">
        <f>Juli!N17</f>
        <v>0</v>
      </c>
      <c r="I8" s="7"/>
      <c r="J8" s="7">
        <v>0</v>
      </c>
    </row>
    <row r="9" spans="1:26" x14ac:dyDescent="0.35">
      <c r="A9" s="1" t="s">
        <v>29</v>
      </c>
      <c r="B9" s="2">
        <v>0</v>
      </c>
      <c r="D9" s="6" t="s">
        <v>16</v>
      </c>
      <c r="E9" s="7">
        <f>August!N5</f>
        <v>0</v>
      </c>
      <c r="F9" s="8">
        <f>August!N9</f>
        <v>0</v>
      </c>
      <c r="G9" s="2">
        <f>August!N13</f>
        <v>0</v>
      </c>
      <c r="H9" s="7">
        <f>August!N17</f>
        <v>0</v>
      </c>
      <c r="I9" s="7"/>
      <c r="J9" s="7">
        <v>0</v>
      </c>
    </row>
    <row r="10" spans="1:26" x14ac:dyDescent="0.35">
      <c r="D10" s="6" t="s">
        <v>17</v>
      </c>
      <c r="E10" s="7">
        <f>September!N5</f>
        <v>0</v>
      </c>
      <c r="F10" s="8">
        <f>September!N9</f>
        <v>0</v>
      </c>
      <c r="G10" s="2">
        <f>September!N13</f>
        <v>0</v>
      </c>
      <c r="H10" s="7">
        <f>September!N17</f>
        <v>0</v>
      </c>
      <c r="I10" s="7"/>
      <c r="J10" s="7">
        <v>0</v>
      </c>
    </row>
    <row r="11" spans="1:26" x14ac:dyDescent="0.35">
      <c r="A11" s="3" t="s">
        <v>38</v>
      </c>
      <c r="B11" s="5">
        <v>46034</v>
      </c>
      <c r="D11" s="6" t="s">
        <v>18</v>
      </c>
      <c r="E11" s="7">
        <f>Oktober!N5</f>
        <v>0</v>
      </c>
      <c r="F11" s="8">
        <f>Oktober!N9</f>
        <v>0</v>
      </c>
      <c r="G11" s="2">
        <f>Oktober!N13</f>
        <v>0</v>
      </c>
      <c r="H11" s="7">
        <f>Oktober!N17</f>
        <v>0</v>
      </c>
      <c r="I11" s="7"/>
      <c r="J11" s="7">
        <v>0</v>
      </c>
    </row>
    <row r="12" spans="1:26" x14ac:dyDescent="0.35">
      <c r="D12" s="6" t="s">
        <v>19</v>
      </c>
      <c r="E12" s="7">
        <f>November!N5</f>
        <v>0</v>
      </c>
      <c r="F12" s="8">
        <f>November!N9</f>
        <v>0</v>
      </c>
      <c r="G12" s="2">
        <f>November!N13</f>
        <v>0</v>
      </c>
      <c r="H12" s="7">
        <f>November!N17</f>
        <v>0</v>
      </c>
      <c r="I12" s="7"/>
      <c r="J12" s="7">
        <v>0</v>
      </c>
    </row>
    <row r="13" spans="1:26" x14ac:dyDescent="0.35">
      <c r="A13" s="3" t="s">
        <v>52</v>
      </c>
      <c r="B13" s="5">
        <v>46387</v>
      </c>
      <c r="D13" s="6" t="s">
        <v>20</v>
      </c>
      <c r="E13" s="7">
        <f>Dezember!N5</f>
        <v>0</v>
      </c>
      <c r="F13" s="8">
        <f>Dezember!N9</f>
        <v>0</v>
      </c>
      <c r="G13" s="2">
        <f>Dezember!N13</f>
        <v>0</v>
      </c>
      <c r="H13" s="7">
        <f>Dezember!N17</f>
        <v>0</v>
      </c>
      <c r="I13" s="7"/>
      <c r="J13" s="7">
        <v>0</v>
      </c>
    </row>
    <row r="14" spans="1:26" x14ac:dyDescent="0.35">
      <c r="E14" s="7"/>
      <c r="J14" s="7"/>
    </row>
    <row r="15" spans="1:26" x14ac:dyDescent="0.35">
      <c r="A15" s="3" t="s">
        <v>27</v>
      </c>
      <c r="B15" s="7">
        <v>38.5</v>
      </c>
      <c r="D15" s="9" t="s">
        <v>23</v>
      </c>
      <c r="E15" s="7">
        <f ca="1">SUM(E2:E13)</f>
        <v>-1.6520118606422329E-13</v>
      </c>
      <c r="F15" s="8">
        <f>SUM(F2:F13)</f>
        <v>0</v>
      </c>
      <c r="G15" s="2">
        <f>SUM(G2:G13)</f>
        <v>0</v>
      </c>
      <c r="H15" s="7">
        <f>SUM(H2:H13)</f>
        <v>893.5</v>
      </c>
      <c r="I15" s="7"/>
      <c r="J15" s="7">
        <f>SUM(J2:J13)</f>
        <v>0</v>
      </c>
    </row>
    <row r="16" spans="1:26" x14ac:dyDescent="0.35">
      <c r="A16" s="6" t="s">
        <v>9</v>
      </c>
      <c r="B16" s="7">
        <f>Januar!N27</f>
        <v>38.5</v>
      </c>
    </row>
    <row r="17" spans="1:7" x14ac:dyDescent="0.35">
      <c r="A17" s="6" t="s">
        <v>10</v>
      </c>
      <c r="B17" s="7">
        <f>Februar!N27</f>
        <v>38.5</v>
      </c>
      <c r="D17" s="4" t="s">
        <v>39</v>
      </c>
      <c r="E17" s="7">
        <f ca="1">SUM(E2:E13)+B9-J15</f>
        <v>-1.6520118606422329E-13</v>
      </c>
    </row>
    <row r="18" spans="1:7" x14ac:dyDescent="0.35">
      <c r="A18" s="6" t="s">
        <v>11</v>
      </c>
      <c r="B18" s="7">
        <f>März!N27</f>
        <v>38.5</v>
      </c>
      <c r="D18" s="9" t="s">
        <v>40</v>
      </c>
      <c r="G18" s="2">
        <f>B5+B7-G15</f>
        <v>24</v>
      </c>
    </row>
    <row r="19" spans="1:7" x14ac:dyDescent="0.35">
      <c r="A19" s="6" t="s">
        <v>12</v>
      </c>
      <c r="B19" s="7">
        <f>April!N27</f>
        <v>38.5</v>
      </c>
    </row>
    <row r="20" spans="1:7" x14ac:dyDescent="0.35">
      <c r="A20" s="6" t="s">
        <v>13</v>
      </c>
      <c r="B20" s="7">
        <f>Mai!N27</f>
        <v>38.5</v>
      </c>
    </row>
    <row r="21" spans="1:7" x14ac:dyDescent="0.35">
      <c r="A21" s="6" t="s">
        <v>14</v>
      </c>
      <c r="B21" s="7">
        <f>Juni!N27</f>
        <v>38.5</v>
      </c>
    </row>
    <row r="22" spans="1:7" x14ac:dyDescent="0.35">
      <c r="A22" s="6" t="s">
        <v>15</v>
      </c>
      <c r="B22" s="7">
        <f>Juli!N27</f>
        <v>38.5</v>
      </c>
    </row>
    <row r="23" spans="1:7" x14ac:dyDescent="0.35">
      <c r="A23" s="6" t="s">
        <v>16</v>
      </c>
      <c r="B23" s="7">
        <f>August!N27</f>
        <v>38.5</v>
      </c>
    </row>
    <row r="24" spans="1:7" x14ac:dyDescent="0.35">
      <c r="A24" s="6" t="s">
        <v>17</v>
      </c>
      <c r="B24" s="7">
        <f>September!N27</f>
        <v>38.5</v>
      </c>
    </row>
    <row r="25" spans="1:7" x14ac:dyDescent="0.35">
      <c r="A25" s="6" t="s">
        <v>18</v>
      </c>
      <c r="B25" s="7">
        <f>Oktober!N27</f>
        <v>38.5</v>
      </c>
    </row>
    <row r="26" spans="1:7" x14ac:dyDescent="0.35">
      <c r="A26" s="6" t="s">
        <v>19</v>
      </c>
      <c r="B26" s="7">
        <f>November!N27</f>
        <v>38.5</v>
      </c>
    </row>
    <row r="27" spans="1:7" x14ac:dyDescent="0.35">
      <c r="A27" s="6" t="s">
        <v>20</v>
      </c>
      <c r="B27" s="7">
        <f>Dezember!N27</f>
        <v>38.5</v>
      </c>
    </row>
    <row r="29" spans="1:7" x14ac:dyDescent="0.35">
      <c r="A29" s="3" t="s">
        <v>42</v>
      </c>
      <c r="C29" s="3" t="s">
        <v>6</v>
      </c>
    </row>
    <row r="30" spans="1:7" x14ac:dyDescent="0.35">
      <c r="A30" s="6" t="s">
        <v>43</v>
      </c>
      <c r="C30" s="7">
        <v>8</v>
      </c>
    </row>
    <row r="31" spans="1:7" x14ac:dyDescent="0.35">
      <c r="A31" s="6" t="s">
        <v>44</v>
      </c>
      <c r="C31" s="7">
        <v>8</v>
      </c>
    </row>
    <row r="32" spans="1:7" x14ac:dyDescent="0.35">
      <c r="A32" s="6" t="s">
        <v>45</v>
      </c>
      <c r="C32" s="7">
        <v>8</v>
      </c>
    </row>
    <row r="33" spans="1:3" x14ac:dyDescent="0.35">
      <c r="A33" s="6" t="s">
        <v>46</v>
      </c>
      <c r="C33" s="7">
        <v>8</v>
      </c>
    </row>
    <row r="34" spans="1:3" x14ac:dyDescent="0.35">
      <c r="A34" s="6" t="s">
        <v>47</v>
      </c>
      <c r="C34" s="7">
        <v>6.5</v>
      </c>
    </row>
    <row r="35" spans="1:3" x14ac:dyDescent="0.35">
      <c r="A35" s="6" t="s">
        <v>48</v>
      </c>
      <c r="C35" s="7">
        <f t="shared" ref="C35:C36" si="0">IF(Z6=TRUE,$B$15/$B$37,0)</f>
        <v>0</v>
      </c>
    </row>
    <row r="36" spans="1:3" x14ac:dyDescent="0.35">
      <c r="A36" s="6" t="s">
        <v>49</v>
      </c>
      <c r="C36" s="7">
        <f t="shared" si="0"/>
        <v>0</v>
      </c>
    </row>
    <row r="37" spans="1:3" x14ac:dyDescent="0.35">
      <c r="A37" s="14" t="s">
        <v>51</v>
      </c>
      <c r="B37" s="2">
        <f>COUNTIF(Z1:Z7,"WAHR")</f>
        <v>5</v>
      </c>
    </row>
    <row r="39" spans="1:3" x14ac:dyDescent="0.35">
      <c r="A39" s="10"/>
    </row>
    <row r="42" spans="1:3" x14ac:dyDescent="0.35">
      <c r="A42" s="10"/>
    </row>
    <row r="44" spans="1:3" x14ac:dyDescent="0.35">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38100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38100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38100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38100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38100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38100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38100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4.5" x14ac:dyDescent="0.35"/>
  <cols>
    <col min="19" max="19" width="34.6328125" bestFit="1" customWidth="1"/>
    <col min="21" max="21" width="0" hidden="1" customWidth="1"/>
  </cols>
  <sheetData>
    <row r="1" spans="19:21" x14ac:dyDescent="0.35">
      <c r="S1" s="12" t="s">
        <v>31</v>
      </c>
      <c r="U1" t="s">
        <v>65</v>
      </c>
    </row>
    <row r="2" spans="19:21" x14ac:dyDescent="0.35">
      <c r="S2" s="16"/>
      <c r="U2" t="s">
        <v>63</v>
      </c>
    </row>
    <row r="3" spans="19:21" x14ac:dyDescent="0.35">
      <c r="S3" s="15" t="s">
        <v>35</v>
      </c>
      <c r="U3" t="s">
        <v>22</v>
      </c>
    </row>
    <row r="4" spans="19:21" x14ac:dyDescent="0.35">
      <c r="S4" s="15" t="s">
        <v>32</v>
      </c>
      <c r="U4" t="s">
        <v>62</v>
      </c>
    </row>
    <row r="5" spans="19:21" x14ac:dyDescent="0.35">
      <c r="S5" s="16"/>
      <c r="U5" t="s">
        <v>64</v>
      </c>
    </row>
    <row r="6" spans="19:21" x14ac:dyDescent="0.35">
      <c r="S6" s="17" t="s">
        <v>33</v>
      </c>
      <c r="U6" t="s">
        <v>66</v>
      </c>
    </row>
    <row r="7" spans="19:21" x14ac:dyDescent="0.35">
      <c r="S7" s="17" t="s">
        <v>34</v>
      </c>
    </row>
    <row r="8" spans="19:21" x14ac:dyDescent="0.35">
      <c r="S8" s="16"/>
    </row>
    <row r="9" spans="19:21" x14ac:dyDescent="0.35">
      <c r="S9" s="18" t="s">
        <v>53</v>
      </c>
    </row>
    <row r="20" spans="19:20" ht="15" customHeight="1" x14ac:dyDescent="0.35">
      <c r="T20" s="38"/>
    </row>
    <row r="21" spans="19:20" ht="15" customHeight="1" x14ac:dyDescent="0.35">
      <c r="T21" s="38"/>
    </row>
    <row r="23" spans="19:20" x14ac:dyDescent="0.35">
      <c r="S23" s="49" t="s">
        <v>55</v>
      </c>
    </row>
    <row r="24" spans="19:20" x14ac:dyDescent="0.35">
      <c r="S24" s="49"/>
    </row>
    <row r="27" spans="19:20" x14ac:dyDescent="0.35">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Buchhaltung Wikimont</cp:lastModifiedBy>
  <cp:lastPrinted>2021-02-01T12:16:01Z</cp:lastPrinted>
  <dcterms:created xsi:type="dcterms:W3CDTF">2014-03-03T20:49:54Z</dcterms:created>
  <dcterms:modified xsi:type="dcterms:W3CDTF">2026-07-09T10:52:24Z</dcterms:modified>
</cp:coreProperties>
</file>