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chh\Documents\Wikimont GmbH\Personalverrechnung\Personalakt_MARGAN Mario\"/>
    </mc:Choice>
  </mc:AlternateContent>
  <xr:revisionPtr revIDLastSave="0" documentId="13_ncr:1_{ED584401-8EE8-4271-8436-4F0A1CCEF32F}" xr6:coauthVersionLast="47" xr6:coauthVersionMax="47" xr10:uidLastSave="{00000000-0000-0000-0000-000000000000}"/>
  <bookViews>
    <workbookView xWindow="-120" yWindow="-120" windowWidth="29040" windowHeight="15720" xr2:uid="{BD697FEF-2D6D-4F82-84E8-E428F5F41954}"/>
  </bookViews>
  <sheets>
    <sheet name="Endabrechn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" l="1"/>
  <c r="N11" i="1"/>
  <c r="N10" i="1"/>
  <c r="C9" i="1"/>
  <c r="N13" i="1" l="1"/>
  <c r="C12" i="1"/>
  <c r="G13" i="1" l="1"/>
  <c r="F20" i="1" s="1"/>
  <c r="F13" i="1" l="1"/>
  <c r="D13" i="1"/>
  <c r="E12" i="1"/>
  <c r="H12" i="1" s="1"/>
  <c r="C10" i="1"/>
  <c r="E10" i="1" s="1"/>
  <c r="H10" i="1" s="1"/>
  <c r="C11" i="1"/>
  <c r="E11" i="1" s="1"/>
  <c r="E9" i="1"/>
  <c r="H9" i="1" s="1"/>
  <c r="C8" i="1"/>
  <c r="E8" i="1" s="1"/>
  <c r="H8" i="1" s="1"/>
  <c r="C7" i="1"/>
  <c r="E7" i="1" s="1"/>
  <c r="H7" i="1" s="1"/>
  <c r="C6" i="1"/>
  <c r="E6" i="1" s="1"/>
  <c r="H11" i="1" l="1"/>
  <c r="I11" i="1" s="1"/>
  <c r="I10" i="1"/>
  <c r="I7" i="1"/>
  <c r="I8" i="1"/>
  <c r="I9" i="1"/>
  <c r="I12" i="1"/>
  <c r="C13" i="1"/>
  <c r="H6" i="1"/>
  <c r="H13" i="1" l="1"/>
  <c r="F19" i="1" s="1"/>
  <c r="E13" i="1"/>
  <c r="F18" i="1" s="1"/>
  <c r="I6" i="1" l="1"/>
  <c r="F21" i="1"/>
  <c r="I13" i="1"/>
  <c r="F24" i="1" l="1"/>
  <c r="F17" i="1"/>
  <c r="O13" i="1" l="1"/>
  <c r="P13" i="1"/>
  <c r="M13" i="1"/>
  <c r="Q11" i="1"/>
  <c r="Q10" i="1"/>
  <c r="Q9" i="1"/>
  <c r="K13" i="1"/>
  <c r="L12" i="1"/>
  <c r="L11" i="1"/>
  <c r="L9" i="1"/>
  <c r="L6" i="1"/>
  <c r="Q13" i="1" l="1"/>
  <c r="F22" i="1" s="1"/>
  <c r="J13" i="1"/>
  <c r="L10" i="1"/>
  <c r="L8" i="1" l="1"/>
  <c r="L7" i="1"/>
  <c r="L13" i="1" l="1"/>
  <c r="F23" i="1" s="1"/>
  <c r="F25" i="1" l="1"/>
</calcChain>
</file>

<file path=xl/sharedStrings.xml><?xml version="1.0" encoding="utf-8"?>
<sst xmlns="http://schemas.openxmlformats.org/spreadsheetml/2006/main" count="45" uniqueCount="42">
  <si>
    <t>Zeitraum</t>
  </si>
  <si>
    <t>Sollstunden</t>
  </si>
  <si>
    <t>Iststunden</t>
  </si>
  <si>
    <t>Üst 100 %</t>
  </si>
  <si>
    <t>ÜSt 50 %</t>
  </si>
  <si>
    <t>Summe</t>
  </si>
  <si>
    <t>Überstunden Abrechnung gemäß §2g AVRAG</t>
  </si>
  <si>
    <t>Netto nach Aufrollung</t>
  </si>
  <si>
    <t>Netto vor Aufrollung</t>
  </si>
  <si>
    <t>Vorschüsse (Darlehen) Dienstnehmer 2026</t>
  </si>
  <si>
    <t>12.01.-31.01.2026</t>
  </si>
  <si>
    <t>01.02.-28.02.2026</t>
  </si>
  <si>
    <t>01.03.-12.03.2026</t>
  </si>
  <si>
    <t>01.04.-30.04.2026</t>
  </si>
  <si>
    <t>01.05.-31.05.2026</t>
  </si>
  <si>
    <t>01.06.-30.06.2026</t>
  </si>
  <si>
    <t>01.07.-16.07.2026</t>
  </si>
  <si>
    <t>Taggelder Ist</t>
  </si>
  <si>
    <t>Kürzung Taggelder</t>
  </si>
  <si>
    <t>Taggelder Soll</t>
  </si>
  <si>
    <t>unter Grenzbetrag 7.300 €</t>
  </si>
  <si>
    <t>Summe Nachzahlung LSt  / SV</t>
  </si>
  <si>
    <t>Summe Nachzahlung Dienstnehmer</t>
  </si>
  <si>
    <t>Umstufung in Lohngruppe 4 (netto)</t>
  </si>
  <si>
    <t>Montagezulage für Überstunden (brutto)</t>
  </si>
  <si>
    <t>ÜSt-Entlohnung brutto (ÜGL + ÜZ 50%)</t>
  </si>
  <si>
    <t>Überstundengrundlohn (brutto)</t>
  </si>
  <si>
    <t>Überstundenzuschläge (brutto)</t>
  </si>
  <si>
    <t>Überstundenzuschläge steuerfrei [max. 15 ÜZ bis 170 € steuerfrei]</t>
  </si>
  <si>
    <t>ÜSt 50 % stfr</t>
  </si>
  <si>
    <t>Üst 50 % stpfl</t>
  </si>
  <si>
    <t>Vorschau-Berichtigungen (Jan-Jul 2026)</t>
  </si>
  <si>
    <t>Nächtigungsgelder Berichtigung (netto)</t>
  </si>
  <si>
    <t>Tag- u. Nächtigungsgelder Berichtigung</t>
  </si>
  <si>
    <t>Abzüge</t>
  </si>
  <si>
    <t>Zuschläge</t>
  </si>
  <si>
    <t>Nachzahlung SV und LSt für höheres Brutto und Überstunden</t>
  </si>
  <si>
    <t>Aufrollung Lohnvorschüsse als Sachbezug (netto)</t>
  </si>
  <si>
    <t>Dienstnehmer: 112</t>
  </si>
  <si>
    <t>Mario MARGAN</t>
  </si>
  <si>
    <t>Versicherungsnr.: 35041071203</t>
  </si>
  <si>
    <t>Aufrollung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</si>
</sst>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9"/>
      <name val="Aptos Narrow"/>
      <family val="2"/>
      <scheme val="minor"/>
    </font>
    <font>
      <b/>
      <sz val="11"/>
      <color rgb="FFC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1" xfId="0" applyFont="1" applyBorder="1"/>
    <xf numFmtId="44" fontId="0" fillId="0" borderId="0" xfId="1" applyFont="1" applyBorder="1"/>
    <xf numFmtId="0" fontId="0" fillId="0" borderId="1" xfId="0" applyBorder="1"/>
    <xf numFmtId="44" fontId="0" fillId="0" borderId="5" xfId="1" applyFont="1" applyBorder="1"/>
    <xf numFmtId="2" fontId="0" fillId="0" borderId="0" xfId="0" applyNumberFormat="1"/>
    <xf numFmtId="0" fontId="0" fillId="0" borderId="0" xfId="0" applyAlignment="1">
      <alignment horizontal="left"/>
    </xf>
    <xf numFmtId="44" fontId="2" fillId="0" borderId="10" xfId="1" applyFont="1" applyBorder="1"/>
    <xf numFmtId="44" fontId="2" fillId="0" borderId="11" xfId="1" applyFont="1" applyBorder="1"/>
    <xf numFmtId="0" fontId="0" fillId="0" borderId="5" xfId="0" applyBorder="1"/>
    <xf numFmtId="44" fontId="0" fillId="0" borderId="0" xfId="1" applyFont="1" applyFill="1" applyBorder="1"/>
    <xf numFmtId="0" fontId="4" fillId="0" borderId="5" xfId="0" applyFont="1" applyBorder="1" applyAlignment="1">
      <alignment wrapText="1"/>
    </xf>
    <xf numFmtId="44" fontId="0" fillId="2" borderId="5" xfId="0" applyNumberFormat="1" applyFill="1" applyBorder="1"/>
    <xf numFmtId="44" fontId="0" fillId="3" borderId="5" xfId="0" applyNumberFormat="1" applyFill="1" applyBorder="1"/>
    <xf numFmtId="44" fontId="0" fillId="3" borderId="5" xfId="1" applyFont="1" applyFill="1" applyBorder="1"/>
    <xf numFmtId="0" fontId="0" fillId="2" borderId="0" xfId="0" applyFill="1"/>
    <xf numFmtId="0" fontId="0" fillId="3" borderId="0" xfId="0" applyFill="1"/>
    <xf numFmtId="0" fontId="3" fillId="0" borderId="0" xfId="0" applyFont="1"/>
    <xf numFmtId="0" fontId="2" fillId="0" borderId="0" xfId="0" applyFont="1" applyAlignment="1">
      <alignment horizontal="left" wrapText="1"/>
    </xf>
    <xf numFmtId="0" fontId="0" fillId="4" borderId="6" xfId="0" applyFill="1" applyBorder="1"/>
    <xf numFmtId="0" fontId="2" fillId="4" borderId="7" xfId="0" applyFont="1" applyFill="1" applyBorder="1" applyAlignment="1">
      <alignment horizontal="left" wrapText="1"/>
    </xf>
    <xf numFmtId="44" fontId="2" fillId="4" borderId="8" xfId="1" applyFont="1" applyFill="1" applyBorder="1"/>
    <xf numFmtId="44" fontId="0" fillId="0" borderId="1" xfId="1" applyFont="1" applyFill="1" applyBorder="1"/>
    <xf numFmtId="44" fontId="2" fillId="0" borderId="9" xfId="1" applyFont="1" applyFill="1" applyBorder="1"/>
    <xf numFmtId="0" fontId="3" fillId="5" borderId="1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2" fillId="5" borderId="1" xfId="0" applyFont="1" applyFill="1" applyBorder="1"/>
    <xf numFmtId="0" fontId="2" fillId="5" borderId="0" xfId="0" applyFont="1" applyFill="1"/>
    <xf numFmtId="0" fontId="0" fillId="5" borderId="1" xfId="0" applyFill="1" applyBorder="1"/>
    <xf numFmtId="0" fontId="0" fillId="5" borderId="0" xfId="0" applyFill="1"/>
    <xf numFmtId="44" fontId="0" fillId="5" borderId="0" xfId="1" applyFont="1" applyFill="1" applyBorder="1"/>
    <xf numFmtId="0" fontId="0" fillId="5" borderId="6" xfId="0" applyFill="1" applyBorder="1"/>
    <xf numFmtId="0" fontId="0" fillId="5" borderId="7" xfId="0" applyFill="1" applyBorder="1"/>
    <xf numFmtId="44" fontId="0" fillId="5" borderId="8" xfId="1" applyFont="1" applyFill="1" applyBorder="1"/>
    <xf numFmtId="0" fontId="2" fillId="5" borderId="6" xfId="0" applyFont="1" applyFill="1" applyBorder="1"/>
    <xf numFmtId="0" fontId="2" fillId="5" borderId="7" xfId="0" applyFont="1" applyFill="1" applyBorder="1"/>
    <xf numFmtId="44" fontId="2" fillId="5" borderId="7" xfId="1" applyFont="1" applyFill="1" applyBorder="1"/>
    <xf numFmtId="0" fontId="3" fillId="5" borderId="5" xfId="0" applyFont="1" applyFill="1" applyBorder="1" applyAlignment="1">
      <alignment horizontal="center"/>
    </xf>
    <xf numFmtId="0" fontId="2" fillId="5" borderId="5" xfId="0" applyFont="1" applyFill="1" applyBorder="1"/>
    <xf numFmtId="44" fontId="0" fillId="5" borderId="1" xfId="1" applyFont="1" applyFill="1" applyBorder="1"/>
    <xf numFmtId="44" fontId="0" fillId="5" borderId="5" xfId="0" applyNumberFormat="1" applyFill="1" applyBorder="1"/>
    <xf numFmtId="44" fontId="2" fillId="5" borderId="9" xfId="1" applyFont="1" applyFill="1" applyBorder="1"/>
    <xf numFmtId="44" fontId="2" fillId="5" borderId="10" xfId="1" applyFont="1" applyFill="1" applyBorder="1"/>
    <xf numFmtId="44" fontId="6" fillId="0" borderId="0" xfId="1" applyFont="1" applyFill="1" applyBorder="1"/>
    <xf numFmtId="44" fontId="6" fillId="0" borderId="9" xfId="1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6196-BF68-4C14-8880-38BBBB89036C}">
  <sheetPr>
    <pageSetUpPr fitToPage="1"/>
  </sheetPr>
  <dimension ref="A1:U25"/>
  <sheetViews>
    <sheetView tabSelected="1" topLeftCell="H1" zoomScaleNormal="100" workbookViewId="0">
      <selection activeCell="N24" sqref="N24"/>
    </sheetView>
  </sheetViews>
  <sheetFormatPr baseColWidth="10" defaultRowHeight="15" x14ac:dyDescent="0.25"/>
  <cols>
    <col min="2" max="2" width="21.140625" customWidth="1"/>
    <col min="3" max="3" width="16.28515625" bestFit="1" customWidth="1"/>
    <col min="4" max="4" width="9.85546875" bestFit="1" customWidth="1"/>
    <col min="5" max="5" width="8.140625" bestFit="1" customWidth="1"/>
    <col min="6" max="6" width="15.140625" bestFit="1" customWidth="1"/>
    <col min="7" max="7" width="12.140625" bestFit="1" customWidth="1"/>
    <col min="8" max="8" width="13" bestFit="1" customWidth="1"/>
    <col min="9" max="9" width="21.28515625" bestFit="1" customWidth="1"/>
    <col min="10" max="10" width="14.5703125" bestFit="1" customWidth="1"/>
    <col min="11" max="11" width="20.85546875" bestFit="1" customWidth="1"/>
    <col min="12" max="12" width="19.5703125" bestFit="1" customWidth="1"/>
    <col min="13" max="13" width="11.85546875" bestFit="1" customWidth="1"/>
    <col min="14" max="14" width="13" bestFit="1" customWidth="1"/>
    <col min="15" max="15" width="19.28515625" bestFit="1" customWidth="1"/>
    <col min="16" max="16" width="20.7109375" bestFit="1" customWidth="1"/>
    <col min="17" max="17" width="11.85546875" bestFit="1" customWidth="1"/>
    <col min="18" max="18" width="19.28515625" bestFit="1" customWidth="1"/>
    <col min="19" max="19" width="20.7109375" bestFit="1" customWidth="1"/>
    <col min="20" max="20" width="19.85546875" bestFit="1" customWidth="1"/>
  </cols>
  <sheetData>
    <row r="1" spans="1:21" x14ac:dyDescent="0.25">
      <c r="B1" t="s">
        <v>38</v>
      </c>
      <c r="C1" t="s">
        <v>39</v>
      </c>
      <c r="F1" t="s">
        <v>40</v>
      </c>
      <c r="K1" s="7"/>
    </row>
    <row r="3" spans="1:21" ht="15.75" x14ac:dyDescent="0.25">
      <c r="B3" s="54" t="s">
        <v>6</v>
      </c>
      <c r="C3" s="55"/>
      <c r="D3" s="55"/>
      <c r="E3" s="55"/>
      <c r="F3" s="55"/>
      <c r="G3" s="55"/>
      <c r="H3" s="55"/>
      <c r="I3" s="55"/>
      <c r="J3" s="54" t="s">
        <v>33</v>
      </c>
      <c r="K3" s="55"/>
      <c r="L3" s="56"/>
      <c r="M3" s="51" t="s">
        <v>9</v>
      </c>
      <c r="N3" s="52"/>
      <c r="O3" s="52"/>
      <c r="P3" s="52"/>
      <c r="Q3" s="53"/>
      <c r="U3" s="1"/>
    </row>
    <row r="4" spans="1:21" ht="15.75" x14ac:dyDescent="0.25">
      <c r="B4" s="25"/>
      <c r="C4" s="26"/>
      <c r="D4" s="26"/>
      <c r="E4" s="26"/>
      <c r="F4" s="26"/>
      <c r="G4" s="26"/>
      <c r="H4" s="26"/>
      <c r="I4" s="26"/>
      <c r="J4" s="25"/>
      <c r="K4" s="26"/>
      <c r="L4" s="38"/>
      <c r="M4" s="4"/>
      <c r="Q4" s="10"/>
    </row>
    <row r="5" spans="1:21" s="1" customFormat="1" ht="45" x14ac:dyDescent="0.25">
      <c r="B5" s="27" t="s">
        <v>0</v>
      </c>
      <c r="C5" s="28" t="s">
        <v>1</v>
      </c>
      <c r="D5" s="28" t="s">
        <v>2</v>
      </c>
      <c r="E5" s="28" t="s">
        <v>4</v>
      </c>
      <c r="F5" s="28" t="s">
        <v>3</v>
      </c>
      <c r="G5" s="28" t="s">
        <v>29</v>
      </c>
      <c r="H5" s="28" t="s">
        <v>30</v>
      </c>
      <c r="I5" s="28" t="s">
        <v>25</v>
      </c>
      <c r="J5" s="27" t="s">
        <v>17</v>
      </c>
      <c r="K5" s="28" t="s">
        <v>19</v>
      </c>
      <c r="L5" s="39" t="s">
        <v>18</v>
      </c>
      <c r="M5" s="2" t="s">
        <v>5</v>
      </c>
      <c r="N5" s="1" t="s">
        <v>41</v>
      </c>
      <c r="O5" s="1" t="s">
        <v>8</v>
      </c>
      <c r="P5" s="1" t="s">
        <v>7</v>
      </c>
      <c r="Q5" s="12" t="s">
        <v>21</v>
      </c>
    </row>
    <row r="6" spans="1:21" x14ac:dyDescent="0.25">
      <c r="B6" s="29" t="s">
        <v>10</v>
      </c>
      <c r="C6" s="30">
        <f>38.5*3</f>
        <v>115.5</v>
      </c>
      <c r="D6" s="30"/>
      <c r="E6" s="30">
        <f>D6-C6</f>
        <v>-115.5</v>
      </c>
      <c r="F6" s="30">
        <v>0</v>
      </c>
      <c r="G6" s="30">
        <v>15</v>
      </c>
      <c r="H6" s="30">
        <f>E6-G6</f>
        <v>-130.5</v>
      </c>
      <c r="I6" s="31">
        <f>(2759.39/143)*Endabrechnung!E6+((2759.39/143)*H6)*0.5</f>
        <v>-3487.8303671328677</v>
      </c>
      <c r="J6" s="40"/>
      <c r="K6" s="31"/>
      <c r="L6" s="41">
        <f>J6-K6</f>
        <v>0</v>
      </c>
      <c r="M6" s="23">
        <v>2000</v>
      </c>
      <c r="N6" s="57" t="s">
        <v>20</v>
      </c>
      <c r="O6" s="57"/>
      <c r="P6" s="57"/>
      <c r="Q6" s="58"/>
    </row>
    <row r="7" spans="1:21" x14ac:dyDescent="0.25">
      <c r="B7" s="29" t="s">
        <v>11</v>
      </c>
      <c r="C7" s="30">
        <f>38.5*4</f>
        <v>154</v>
      </c>
      <c r="D7" s="30"/>
      <c r="E7" s="30">
        <f t="shared" ref="E7:E12" si="0">D7-C7</f>
        <v>-154</v>
      </c>
      <c r="F7" s="30">
        <v>0</v>
      </c>
      <c r="G7" s="30">
        <v>15</v>
      </c>
      <c r="H7" s="30">
        <f t="shared" ref="H7:H12" si="1">E7-G7</f>
        <v>-169</v>
      </c>
      <c r="I7" s="31">
        <f>(2759.39/143)*Endabrechnung!E7+((2759.39/143)*H7)*0.5</f>
        <v>-4602.1994055944051</v>
      </c>
      <c r="J7" s="40"/>
      <c r="K7" s="31"/>
      <c r="L7" s="41">
        <f t="shared" ref="L7:L12" si="2">J7-K7</f>
        <v>0</v>
      </c>
      <c r="M7" s="23">
        <v>1785</v>
      </c>
      <c r="N7" s="57" t="s">
        <v>20</v>
      </c>
      <c r="O7" s="57"/>
      <c r="P7" s="57"/>
      <c r="Q7" s="58"/>
    </row>
    <row r="8" spans="1:21" x14ac:dyDescent="0.25">
      <c r="B8" s="29" t="s">
        <v>12</v>
      </c>
      <c r="C8" s="30">
        <f>38.5*4+8+8</f>
        <v>170</v>
      </c>
      <c r="D8" s="30"/>
      <c r="E8" s="30">
        <f>D8-C8</f>
        <v>-170</v>
      </c>
      <c r="F8" s="30">
        <v>0</v>
      </c>
      <c r="G8" s="30">
        <v>15</v>
      </c>
      <c r="H8" s="30">
        <f t="shared" si="1"/>
        <v>-185</v>
      </c>
      <c r="I8" s="31">
        <f>(2759.39/143)*Endabrechnung!E8+((2759.39/143)*H8)*0.5</f>
        <v>-5065.3138111888111</v>
      </c>
      <c r="J8" s="40"/>
      <c r="K8" s="31"/>
      <c r="L8" s="41">
        <f t="shared" si="2"/>
        <v>0</v>
      </c>
      <c r="M8" s="23">
        <v>3500</v>
      </c>
      <c r="N8" s="57" t="s">
        <v>20</v>
      </c>
      <c r="O8" s="57"/>
      <c r="P8" s="57"/>
      <c r="Q8" s="58"/>
    </row>
    <row r="9" spans="1:21" x14ac:dyDescent="0.25">
      <c r="B9" s="29" t="s">
        <v>13</v>
      </c>
      <c r="C9" s="30">
        <f>38.5*4+8+8-8</f>
        <v>162</v>
      </c>
      <c r="D9" s="30"/>
      <c r="E9" s="30">
        <f t="shared" si="0"/>
        <v>-162</v>
      </c>
      <c r="F9" s="30">
        <v>0</v>
      </c>
      <c r="G9" s="30">
        <v>15</v>
      </c>
      <c r="H9" s="30">
        <f t="shared" si="1"/>
        <v>-177</v>
      </c>
      <c r="I9" s="31">
        <f>(2759.39/143)*Endabrechnung!E9+((2759.39/143)*H9)*0.5</f>
        <v>-4833.756608391609</v>
      </c>
      <c r="J9" s="40"/>
      <c r="K9" s="31"/>
      <c r="L9" s="41">
        <f t="shared" si="2"/>
        <v>0</v>
      </c>
      <c r="M9" s="23">
        <v>3000</v>
      </c>
      <c r="N9" s="44">
        <f>SUM(M6:M9)-7300</f>
        <v>2985</v>
      </c>
      <c r="O9" s="3"/>
      <c r="P9" s="3"/>
      <c r="Q9" s="5">
        <f>O9-P9</f>
        <v>0</v>
      </c>
    </row>
    <row r="10" spans="1:21" x14ac:dyDescent="0.25">
      <c r="B10" s="29" t="s">
        <v>14</v>
      </c>
      <c r="C10" s="30">
        <f>38.5*4+6.5-6.5-8-8</f>
        <v>138</v>
      </c>
      <c r="D10" s="30"/>
      <c r="E10" s="30">
        <f t="shared" si="0"/>
        <v>-138</v>
      </c>
      <c r="F10" s="30">
        <v>0</v>
      </c>
      <c r="G10" s="30">
        <v>15</v>
      </c>
      <c r="H10" s="30">
        <f t="shared" si="1"/>
        <v>-153</v>
      </c>
      <c r="I10" s="31">
        <f>(2759.39/143)*Endabrechnung!E10+((2759.39/143)*H10)*0.5</f>
        <v>-4139.085</v>
      </c>
      <c r="J10" s="40"/>
      <c r="K10" s="31"/>
      <c r="L10" s="41">
        <f t="shared" si="2"/>
        <v>0</v>
      </c>
      <c r="M10" s="23">
        <v>1500</v>
      </c>
      <c r="N10" s="44">
        <f>M10</f>
        <v>1500</v>
      </c>
      <c r="O10" s="3"/>
      <c r="P10" s="3"/>
      <c r="Q10" s="5">
        <f>O10-P10</f>
        <v>0</v>
      </c>
    </row>
    <row r="11" spans="1:21" x14ac:dyDescent="0.25">
      <c r="B11" s="29" t="s">
        <v>15</v>
      </c>
      <c r="C11" s="30">
        <f>38.5*4+16-8</f>
        <v>162</v>
      </c>
      <c r="D11" s="30"/>
      <c r="E11" s="30">
        <f t="shared" si="0"/>
        <v>-162</v>
      </c>
      <c r="F11" s="30">
        <v>0</v>
      </c>
      <c r="G11" s="30">
        <v>0</v>
      </c>
      <c r="H11" s="30">
        <f t="shared" si="1"/>
        <v>-162</v>
      </c>
      <c r="I11" s="31">
        <f>(2759.39/143)*Endabrechnung!E11+((2759.39/143)*H11)*0.5</f>
        <v>-4689.0333566433574</v>
      </c>
      <c r="J11" s="40"/>
      <c r="K11" s="31"/>
      <c r="L11" s="41">
        <f t="shared" si="2"/>
        <v>0</v>
      </c>
      <c r="M11" s="23">
        <v>2000</v>
      </c>
      <c r="N11" s="44">
        <f>M11</f>
        <v>2000</v>
      </c>
      <c r="O11" s="3"/>
      <c r="P11" s="3"/>
      <c r="Q11" s="5">
        <f>O11-P11</f>
        <v>0</v>
      </c>
    </row>
    <row r="12" spans="1:21" x14ac:dyDescent="0.25">
      <c r="B12" s="32" t="s">
        <v>16</v>
      </c>
      <c r="C12" s="33">
        <f>38.5*2+16</f>
        <v>93</v>
      </c>
      <c r="D12" s="33"/>
      <c r="E12" s="33">
        <f t="shared" si="0"/>
        <v>-93</v>
      </c>
      <c r="F12" s="33">
        <v>0</v>
      </c>
      <c r="G12" s="33">
        <v>0</v>
      </c>
      <c r="H12" s="33">
        <f t="shared" si="1"/>
        <v>-93</v>
      </c>
      <c r="I12" s="34">
        <f>(2759.39/143)*Endabrechnung!E12+((2759.39/143)*H12)*0.5</f>
        <v>-2691.8524825174827</v>
      </c>
      <c r="J12" s="40"/>
      <c r="K12" s="31"/>
      <c r="L12" s="41">
        <f t="shared" si="2"/>
        <v>0</v>
      </c>
      <c r="M12" s="23"/>
      <c r="N12" s="11"/>
      <c r="Q12" s="10"/>
    </row>
    <row r="13" spans="1:21" s="1" customFormat="1" x14ac:dyDescent="0.25">
      <c r="B13" s="35" t="s">
        <v>5</v>
      </c>
      <c r="C13" s="36">
        <f>SUM(C6:C12)</f>
        <v>994.5</v>
      </c>
      <c r="D13" s="36">
        <f t="shared" ref="D13" si="3">SUM(D6:D12)</f>
        <v>0</v>
      </c>
      <c r="E13" s="36">
        <f>SUM(E6:E12)</f>
        <v>-994.5</v>
      </c>
      <c r="F13" s="36">
        <f t="shared" ref="F13" si="4">SUM(F6:F12)</f>
        <v>0</v>
      </c>
      <c r="G13" s="36">
        <f>SUM(G6:G12)</f>
        <v>75</v>
      </c>
      <c r="H13" s="36">
        <f>SUM(H6:H12)</f>
        <v>-1069.5</v>
      </c>
      <c r="I13" s="37">
        <f>(2759.39/143)*E13+((2759.39/143)*E13)*0.5</f>
        <v>-28785.454772727273</v>
      </c>
      <c r="J13" s="42">
        <f>SUM(J6:J12)</f>
        <v>0</v>
      </c>
      <c r="K13" s="43">
        <f>SUM(K6:K12)</f>
        <v>0</v>
      </c>
      <c r="L13" s="43">
        <f>SUM(L6:L12)</f>
        <v>0</v>
      </c>
      <c r="M13" s="24">
        <f>SUM(M6:M12)</f>
        <v>13785</v>
      </c>
      <c r="N13" s="45">
        <f>SUM(N6:N12)</f>
        <v>6485</v>
      </c>
      <c r="O13" s="8">
        <f t="shared" ref="O13:Q13" si="5">SUM(O6:O12)</f>
        <v>0</v>
      </c>
      <c r="P13" s="8">
        <f t="shared" si="5"/>
        <v>0</v>
      </c>
      <c r="Q13" s="9">
        <f t="shared" si="5"/>
        <v>0</v>
      </c>
    </row>
    <row r="14" spans="1:21" x14ac:dyDescent="0.25">
      <c r="I14" s="6"/>
    </row>
    <row r="16" spans="1:21" ht="15.75" x14ac:dyDescent="0.25">
      <c r="A16" s="48" t="s">
        <v>31</v>
      </c>
      <c r="B16" s="49"/>
      <c r="C16" s="49"/>
      <c r="D16" s="49"/>
      <c r="E16" s="49"/>
      <c r="F16" s="50"/>
      <c r="G16" s="18"/>
      <c r="H16" s="18"/>
      <c r="I16" s="18"/>
    </row>
    <row r="17" spans="1:8" x14ac:dyDescent="0.25">
      <c r="A17" s="47" t="s">
        <v>35</v>
      </c>
      <c r="B17" s="16" t="s">
        <v>23</v>
      </c>
      <c r="C17" s="16"/>
      <c r="D17" s="16"/>
      <c r="E17" s="16"/>
      <c r="F17" s="13">
        <f>58.3*6</f>
        <v>349.79999999999995</v>
      </c>
    </row>
    <row r="18" spans="1:8" x14ac:dyDescent="0.25">
      <c r="A18" s="47"/>
      <c r="B18" s="16" t="s">
        <v>26</v>
      </c>
      <c r="C18" s="16"/>
      <c r="D18" s="16"/>
      <c r="E18" s="16"/>
      <c r="F18" s="13">
        <f>(2759.39/143)*E13</f>
        <v>-19190.303181818181</v>
      </c>
    </row>
    <row r="19" spans="1:8" x14ac:dyDescent="0.25">
      <c r="A19" s="47"/>
      <c r="B19" s="16" t="s">
        <v>27</v>
      </c>
      <c r="C19" s="16"/>
      <c r="D19" s="16"/>
      <c r="E19" s="16"/>
      <c r="F19" s="13">
        <f>((2759.39/143)*H13)*0.5</f>
        <v>-10318.76784965035</v>
      </c>
    </row>
    <row r="20" spans="1:8" x14ac:dyDescent="0.25">
      <c r="A20" s="47"/>
      <c r="B20" s="16" t="s">
        <v>28</v>
      </c>
      <c r="C20" s="16"/>
      <c r="D20" s="16"/>
      <c r="E20" s="16"/>
      <c r="F20" s="13">
        <f>((2759.39/143)*G13)*0.5</f>
        <v>723.61625874125878</v>
      </c>
    </row>
    <row r="21" spans="1:8" x14ac:dyDescent="0.25">
      <c r="A21" s="47"/>
      <c r="B21" s="16" t="s">
        <v>24</v>
      </c>
      <c r="C21" s="16"/>
      <c r="D21" s="16"/>
      <c r="E21" s="16"/>
      <c r="F21" s="13">
        <f>E13*1.155</f>
        <v>-1148.6475</v>
      </c>
    </row>
    <row r="22" spans="1:8" x14ac:dyDescent="0.25">
      <c r="A22" s="46" t="s">
        <v>34</v>
      </c>
      <c r="B22" s="17" t="s">
        <v>37</v>
      </c>
      <c r="C22" s="17"/>
      <c r="D22" s="17"/>
      <c r="E22" s="17"/>
      <c r="F22" s="15">
        <f>Q13*-1</f>
        <v>0</v>
      </c>
    </row>
    <row r="23" spans="1:8" x14ac:dyDescent="0.25">
      <c r="A23" s="46"/>
      <c r="B23" s="17" t="s">
        <v>32</v>
      </c>
      <c r="C23" s="17"/>
      <c r="D23" s="17"/>
      <c r="E23" s="17"/>
      <c r="F23" s="15">
        <f>L13*-1</f>
        <v>0</v>
      </c>
    </row>
    <row r="24" spans="1:8" x14ac:dyDescent="0.25">
      <c r="A24" s="46"/>
      <c r="B24" s="17" t="s">
        <v>36</v>
      </c>
      <c r="C24" s="17"/>
      <c r="D24" s="17"/>
      <c r="E24" s="17"/>
      <c r="F24" s="14" t="e">
        <f>#REF!*-1</f>
        <v>#REF!</v>
      </c>
    </row>
    <row r="25" spans="1:8" ht="15" customHeight="1" x14ac:dyDescent="0.25">
      <c r="A25" s="20"/>
      <c r="B25" s="21" t="s">
        <v>22</v>
      </c>
      <c r="C25" s="21"/>
      <c r="D25" s="21"/>
      <c r="E25" s="21"/>
      <c r="F25" s="22" t="e">
        <f>SUM(F18:F24)</f>
        <v>#REF!</v>
      </c>
      <c r="G25" s="19"/>
      <c r="H25" s="19"/>
    </row>
  </sheetData>
  <mergeCells count="9">
    <mergeCell ref="A22:A24"/>
    <mergeCell ref="A17:A21"/>
    <mergeCell ref="A16:F16"/>
    <mergeCell ref="M3:Q3"/>
    <mergeCell ref="B3:I3"/>
    <mergeCell ref="J3:L3"/>
    <mergeCell ref="N8:Q8"/>
    <mergeCell ref="N6:Q6"/>
    <mergeCell ref="N7:Q7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Endabrechnung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Buchhaltung Wikimont</dc:creator>
  <cp:lastModifiedBy>Buchhaltung Wikimont</cp:lastModifiedBy>
  <cp:lastPrinted>2026-04-14T10:57:54Z</cp:lastPrinted>
  <dcterms:created xsi:type="dcterms:W3CDTF">2026-04-14T09:36:07Z</dcterms:created>
  <dcterms:modified xsi:type="dcterms:W3CDTF">2026-09-09T12:08:18Z</dcterms:modified>
</cp:coreProperties>
</file>